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955" tabRatio="666" activeTab="1"/>
  </bookViews>
  <sheets>
    <sheet name="Entries" sheetId="1" r:id="rId1"/>
    <sheet name="Overall" sheetId="2" r:id="rId2"/>
    <sheet name="Stage 1" sheetId="3" r:id="rId3"/>
    <sheet name="Stage 2" sheetId="4" r:id="rId4"/>
    <sheet name="Stage 3" sheetId="5" r:id="rId5"/>
    <sheet name="Stage 4" sheetId="6" r:id="rId6"/>
    <sheet name="Stage 5" sheetId="7" r:id="rId7"/>
    <sheet name="Stage 6" sheetId="8" r:id="rId8"/>
    <sheet name="Stage 7" sheetId="9" r:id="rId9"/>
    <sheet name="Stage 8" sheetId="10" r:id="rId10"/>
    <sheet name="Stage 9" sheetId="11" r:id="rId11"/>
    <sheet name="Stage 10" sheetId="12" r:id="rId12"/>
    <sheet name="Rules" sheetId="13" r:id="rId13"/>
  </sheets>
  <definedNames>
    <definedName name="_xlnm.Print_Area" localSheetId="1">'Overall'!$A$1:$AR$62</definedName>
    <definedName name="_xlnm.Print_Area" localSheetId="2">'Stage 1'!$A$1:$J$65</definedName>
    <definedName name="_xlnm.Print_Area" localSheetId="11">'Stage 10'!$A$1:$K$65</definedName>
    <definedName name="_xlnm.Print_Area" localSheetId="3">'Stage 2'!$A$1:$K$65</definedName>
    <definedName name="_xlnm.Print_Area" localSheetId="4">'Stage 3'!$A$1:$K$65</definedName>
    <definedName name="_xlnm.Print_Area" localSheetId="5">'Stage 4'!$A$1:$K$65</definedName>
    <definedName name="_xlnm.Print_Area" localSheetId="6">'Stage 5'!$A$1:$K$65</definedName>
    <definedName name="_xlnm.Print_Area" localSheetId="7">'Stage 6'!$A$1:$K$65</definedName>
    <definedName name="_xlnm.Print_Area" localSheetId="8">'Stage 7'!$A$1:$K$65</definedName>
    <definedName name="_xlnm.Print_Area" localSheetId="9">'Stage 8'!$A$1:$K$65</definedName>
    <definedName name="_xlnm.Print_Area" localSheetId="10">'Stage 9'!$A$1:$K$65</definedName>
  </definedNames>
  <calcPr fullCalcOnLoad="1"/>
</workbook>
</file>

<file path=xl/sharedStrings.xml><?xml version="1.0" encoding="utf-8"?>
<sst xmlns="http://schemas.openxmlformats.org/spreadsheetml/2006/main" count="2391" uniqueCount="210">
  <si>
    <t>L</t>
  </si>
  <si>
    <t>Tot</t>
  </si>
  <si>
    <t>V</t>
  </si>
  <si>
    <t>A</t>
  </si>
  <si>
    <t>Cat</t>
  </si>
  <si>
    <t>Team Name</t>
  </si>
  <si>
    <t>Running Total</t>
  </si>
  <si>
    <t>Pts</t>
  </si>
  <si>
    <t>Cat Pos</t>
  </si>
  <si>
    <t>Pos</t>
  </si>
  <si>
    <t>Tot Pos</t>
  </si>
  <si>
    <t>Tot Pts</t>
  </si>
  <si>
    <t>Countback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</si>
  <si>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</si>
  <si>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</si>
  <si>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</si>
  <si>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</si>
  <si>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</si>
  <si>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</si>
  <si>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</si>
  <si>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</si>
  <si>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</si>
  <si>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</si>
  <si>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Hi</t>
  </si>
  <si>
    <t>Lo</t>
  </si>
  <si>
    <t>Avg</t>
  </si>
  <si>
    <t>,</t>
  </si>
  <si>
    <t>Club</t>
  </si>
  <si>
    <t>Robert Teer</t>
  </si>
  <si>
    <t>John Carter</t>
  </si>
  <si>
    <t>07720060005</t>
  </si>
  <si>
    <t>Denis Mole</t>
  </si>
  <si>
    <t>07891067679</t>
  </si>
  <si>
    <t>Ian Stobirski</t>
  </si>
  <si>
    <t>07779713077</t>
  </si>
  <si>
    <t>Malcolm Muir</t>
  </si>
  <si>
    <t>07899958586</t>
  </si>
  <si>
    <t>Sally Gillam</t>
  </si>
  <si>
    <t>Peter Gooding</t>
  </si>
  <si>
    <t>07960817718</t>
  </si>
  <si>
    <t>Edward Barnard</t>
  </si>
  <si>
    <t>07870595258</t>
  </si>
  <si>
    <t>Martin Clarke</t>
  </si>
  <si>
    <t>07960045919</t>
  </si>
  <si>
    <t>Harwich Runners Vets</t>
  </si>
  <si>
    <t>Leg 1</t>
  </si>
  <si>
    <t>Ilford AC</t>
  </si>
  <si>
    <t>East London</t>
  </si>
  <si>
    <t>Leg 2</t>
  </si>
  <si>
    <t>Pitsea RC</t>
  </si>
  <si>
    <t>Leg 4</t>
  </si>
  <si>
    <t>Grange Farm</t>
  </si>
  <si>
    <t>Howard Jardine</t>
  </si>
  <si>
    <t>07736478029</t>
  </si>
  <si>
    <t>Bishop Stortford</t>
  </si>
  <si>
    <t>07776178320</t>
  </si>
  <si>
    <t>Leg 5</t>
  </si>
  <si>
    <t>Witham RC</t>
  </si>
  <si>
    <t>Leg 6</t>
  </si>
  <si>
    <t>Tiptree</t>
  </si>
  <si>
    <t>Malcolm Bailey</t>
  </si>
  <si>
    <t>07748622987</t>
  </si>
  <si>
    <t>Leg 7</t>
  </si>
  <si>
    <t>Springfield Striders</t>
  </si>
  <si>
    <t>Leg 8</t>
  </si>
  <si>
    <t>Billericay Striders</t>
  </si>
  <si>
    <t>Leg 9</t>
  </si>
  <si>
    <t>Leg 10</t>
  </si>
  <si>
    <t>Harwich Runners</t>
  </si>
  <si>
    <t>No</t>
  </si>
  <si>
    <t>Team</t>
  </si>
  <si>
    <t>Name</t>
  </si>
  <si>
    <t>Category Positions</t>
  </si>
  <si>
    <t>Points</t>
  </si>
  <si>
    <t>Rule</t>
  </si>
  <si>
    <t>Finish</t>
  </si>
  <si>
    <t>1 pt per position</t>
  </si>
  <si>
    <t>DNF</t>
  </si>
  <si>
    <t>No Starters + 1</t>
  </si>
  <si>
    <t>DNS</t>
  </si>
  <si>
    <t>DQ</t>
  </si>
  <si>
    <t>Springfield Striders Men A</t>
  </si>
  <si>
    <t>Kevin Wright</t>
  </si>
  <si>
    <t>07549160802</t>
  </si>
  <si>
    <t>Mid Essex Casuals A</t>
  </si>
  <si>
    <t>Mid Essex Casuals B</t>
  </si>
  <si>
    <t>Ian Pike</t>
  </si>
  <si>
    <t>Springfield Striders Vets</t>
  </si>
  <si>
    <t>Natasha Lagden</t>
  </si>
  <si>
    <t>07960451083</t>
  </si>
  <si>
    <t>Leg Organisers</t>
  </si>
  <si>
    <t>Ilford A</t>
  </si>
  <si>
    <t>Ilford B</t>
  </si>
  <si>
    <t>07939109444</t>
  </si>
  <si>
    <t>Dean Ovel</t>
  </si>
  <si>
    <t>07801520640</t>
  </si>
  <si>
    <t>07776000731</t>
  </si>
  <si>
    <t>Harwich Runners Mixed</t>
  </si>
  <si>
    <t>Thurrock Nomads A</t>
  </si>
  <si>
    <t>07505263495</t>
  </si>
  <si>
    <t>Witham Running Club</t>
  </si>
  <si>
    <t>Springfield Striders Men B</t>
  </si>
  <si>
    <t>Springfield Striders Mixed A</t>
  </si>
  <si>
    <t>Springfield Striders Mixed B</t>
  </si>
  <si>
    <t>Springfield Striders Mixed C</t>
  </si>
  <si>
    <t>Springfield Striders Mixed D</t>
  </si>
  <si>
    <t>07815134766</t>
  </si>
  <si>
    <t>Benfleet Men A</t>
  </si>
  <si>
    <t>07805700491</t>
  </si>
  <si>
    <t>Benfleet Men B</t>
  </si>
  <si>
    <t>Benfleet Men C</t>
  </si>
  <si>
    <t>Essex Way Relay Entries</t>
  </si>
  <si>
    <t>2013</t>
  </si>
  <si>
    <t>Men/Mixed</t>
  </si>
  <si>
    <t>Number</t>
  </si>
  <si>
    <t>Contact Name</t>
  </si>
  <si>
    <t>Contact number</t>
  </si>
  <si>
    <t>Eton Manor AC</t>
  </si>
  <si>
    <t>Taryne McPherson</t>
  </si>
  <si>
    <t>07738830294</t>
  </si>
  <si>
    <t>Tiptree A</t>
  </si>
  <si>
    <t>John McVelia</t>
  </si>
  <si>
    <t>07854716722</t>
  </si>
  <si>
    <t>Tiptree B</t>
  </si>
  <si>
    <t>Tiptree Men</t>
  </si>
  <si>
    <t>Sean Ketteridge</t>
  </si>
  <si>
    <t>07847795332</t>
  </si>
  <si>
    <t>Thurrock Nomads B - The Z list</t>
  </si>
  <si>
    <t>Peter Woodward</t>
  </si>
  <si>
    <t>Halstead Road Runners</t>
  </si>
  <si>
    <t>Bob Langley</t>
  </si>
  <si>
    <t>07766016469</t>
  </si>
  <si>
    <t>East Essex Tri Men</t>
  </si>
  <si>
    <t>Mike Grout</t>
  </si>
  <si>
    <t>07900694045</t>
  </si>
  <si>
    <t>Leigh on Sea Striders - I liked the Boys</t>
  </si>
  <si>
    <t>Colchester Harriers - Colchester Allsorts</t>
  </si>
  <si>
    <t>Laurence Harrison</t>
  </si>
  <si>
    <t>07753138341</t>
  </si>
  <si>
    <t>Daniel Augustin</t>
  </si>
  <si>
    <t xml:space="preserve">Daniel Augustin </t>
  </si>
  <si>
    <t>Mid Essex Casuals C</t>
  </si>
  <si>
    <t>Havering 90 A</t>
  </si>
  <si>
    <t>Havering 90 B</t>
  </si>
  <si>
    <t>07871589971</t>
  </si>
  <si>
    <t>BSRC</t>
  </si>
  <si>
    <t>Peter Amos legs 1- 5</t>
  </si>
  <si>
    <t>Viv Law legs 6 - 10</t>
  </si>
  <si>
    <t>07950020016</t>
  </si>
  <si>
    <t>TGT Men A</t>
  </si>
  <si>
    <t>Nick Knight</t>
  </si>
  <si>
    <t>07867671996</t>
  </si>
  <si>
    <t>TGT Men B</t>
  </si>
  <si>
    <t>Steve Birkett</t>
  </si>
  <si>
    <t>07747845877</t>
  </si>
  <si>
    <t>Paul Wheeldon</t>
  </si>
  <si>
    <t>07867538533</t>
  </si>
  <si>
    <t>Southend Men A</t>
  </si>
  <si>
    <t>Debbilyn Hallum</t>
  </si>
  <si>
    <t>07557363575</t>
  </si>
  <si>
    <t>Southend Men B</t>
  </si>
  <si>
    <t>07960457083</t>
  </si>
  <si>
    <t>Harwich Runners Men</t>
  </si>
  <si>
    <t>Grange Farm A</t>
  </si>
  <si>
    <t>Dan Reynolds</t>
  </si>
  <si>
    <t>07816428965</t>
  </si>
  <si>
    <t>Grange Farm B</t>
  </si>
  <si>
    <t>Grange Farm C</t>
  </si>
  <si>
    <t>Leigh on Sea Towels by Poolside</t>
  </si>
  <si>
    <t>Tracy English</t>
  </si>
  <si>
    <t>07919371883</t>
  </si>
  <si>
    <t>Sarah Goodwin</t>
  </si>
  <si>
    <t>07540993448</t>
  </si>
  <si>
    <t xml:space="preserve">Pitsea RC Men </t>
  </si>
  <si>
    <t>Caroline Weald</t>
  </si>
  <si>
    <t>07825855933</t>
  </si>
  <si>
    <t>Pitsea RC Mixed</t>
  </si>
  <si>
    <t>Vets</t>
  </si>
  <si>
    <t>Ilford Vets</t>
  </si>
  <si>
    <t>TGT Vets</t>
  </si>
  <si>
    <t>Ladies</t>
  </si>
  <si>
    <t>Springfield Striders Ladies A</t>
  </si>
  <si>
    <t>Springfield Striders Ladies B</t>
  </si>
  <si>
    <t>Grange Farm Ladies</t>
  </si>
  <si>
    <t>Tiptree Ladies</t>
  </si>
  <si>
    <t>Wendy Smalley</t>
  </si>
  <si>
    <t>07747640298</t>
  </si>
  <si>
    <t>East Essex Tri Women</t>
  </si>
  <si>
    <t>Leigh on Sea - Weekend without Make up</t>
  </si>
  <si>
    <t>Jane Elgar</t>
  </si>
  <si>
    <t>07707994384</t>
  </si>
  <si>
    <t>Benfleet Ladies A</t>
  </si>
  <si>
    <t>Benfleet Ladies B</t>
  </si>
  <si>
    <t>TGT Ladies A</t>
  </si>
  <si>
    <t>Jo Day</t>
  </si>
  <si>
    <t>07984392861</t>
  </si>
  <si>
    <t>TGT Ladies B</t>
  </si>
  <si>
    <t>Pitsea RC Ladies</t>
  </si>
  <si>
    <t>Southend Ladies</t>
  </si>
  <si>
    <t>Harwich Runners Ladies</t>
  </si>
  <si>
    <t>Thrift Green Trotters</t>
  </si>
  <si>
    <t>Leg 3</t>
  </si>
  <si>
    <t>Greg Hart</t>
  </si>
  <si>
    <t>07951720895</t>
  </si>
  <si>
    <t>Southend AC</t>
  </si>
  <si>
    <t>Open Team</t>
  </si>
  <si>
    <t>Ladies Team</t>
  </si>
  <si>
    <t>Vets Team</t>
  </si>
  <si>
    <t>?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</si>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</sst>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E+00"/>
    <numFmt numFmtId="165" formatCode="[$-809]dd\ mmmm\ yyyy"/>
  </numFmts>
  <fonts count="30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56" applyFont="1">
      <alignment/>
      <protection/>
    </xf>
    <xf numFmtId="0" fontId="26" fillId="0" borderId="19" xfId="56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0" xfId="56" applyFont="1" applyBorder="1">
      <alignment/>
      <protection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6" fillId="0" borderId="13" xfId="56" applyFont="1" applyBorder="1">
      <alignment/>
      <protection/>
    </xf>
    <xf numFmtId="0" fontId="26" fillId="0" borderId="0" xfId="56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8" fillId="0" borderId="0" xfId="55" applyFont="1">
      <alignment/>
      <protection/>
    </xf>
    <xf numFmtId="0" fontId="5" fillId="0" borderId="0" xfId="55">
      <alignment/>
      <protection/>
    </xf>
    <xf numFmtId="49" fontId="5" fillId="0" borderId="0" xfId="55" applyNumberFormat="1">
      <alignment/>
      <protection/>
    </xf>
    <xf numFmtId="49" fontId="28" fillId="0" borderId="0" xfId="55" applyNumberFormat="1" applyFont="1">
      <alignment/>
      <protection/>
    </xf>
    <xf numFmtId="0" fontId="26" fillId="0" borderId="19" xfId="56" applyFont="1" applyBorder="1">
      <alignment/>
      <protection/>
    </xf>
    <xf numFmtId="0" fontId="2" fillId="0" borderId="0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6" fillId="0" borderId="10" xfId="56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21" xfId="56" applyFont="1" applyBorder="1">
      <alignment/>
      <protection/>
    </xf>
    <xf numFmtId="0" fontId="28" fillId="0" borderId="0" xfId="0" applyFont="1" applyAlignment="1">
      <alignment/>
    </xf>
    <xf numFmtId="49" fontId="29" fillId="0" borderId="0" xfId="0" applyNumberFormat="1" applyFont="1" applyBorder="1" applyAlignment="1">
      <alignment horizontal="left"/>
    </xf>
    <xf numFmtId="0" fontId="22" fillId="0" borderId="0" xfId="55" applyFont="1" applyAlignment="1">
      <alignment horizontal="center"/>
      <protection/>
    </xf>
    <xf numFmtId="0" fontId="5" fillId="0" borderId="0" xfId="55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3 Essex Way entry list and details" xfId="55"/>
    <cellStyle name="Normal_Essex Way Relay entries 2011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57150</xdr:rowOff>
    </xdr:from>
    <xdr:to>
      <xdr:col>5</xdr:col>
      <xdr:colOff>209550</xdr:colOff>
      <xdr:row>0</xdr:row>
      <xdr:rowOff>238125</xdr:rowOff>
    </xdr:to>
    <xdr:sp macro="[0]!Sort_by_Position">
      <xdr:nvSpPr>
        <xdr:cNvPr id="1" name="Rectangle 2"/>
        <xdr:cNvSpPr>
          <a:spLocks/>
        </xdr:cNvSpPr>
      </xdr:nvSpPr>
      <xdr:spPr>
        <a:xfrm>
          <a:off x="3571875" y="57150"/>
          <a:ext cx="933450" cy="18097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Postion</a:t>
          </a:r>
        </a:p>
      </xdr:txBody>
    </xdr:sp>
    <xdr:clientData fPrintsWithSheet="0"/>
  </xdr:twoCellAnchor>
  <xdr:twoCellAnchor>
    <xdr:from>
      <xdr:col>2</xdr:col>
      <xdr:colOff>1219200</xdr:colOff>
      <xdr:row>0</xdr:row>
      <xdr:rowOff>66675</xdr:rowOff>
    </xdr:from>
    <xdr:to>
      <xdr:col>3</xdr:col>
      <xdr:colOff>238125</xdr:colOff>
      <xdr:row>0</xdr:row>
      <xdr:rowOff>247650</xdr:rowOff>
    </xdr:to>
    <xdr:sp macro="[0]!Sort_by_Team">
      <xdr:nvSpPr>
        <xdr:cNvPr id="2" name="Rectangle 1"/>
        <xdr:cNvSpPr>
          <a:spLocks/>
        </xdr:cNvSpPr>
      </xdr:nvSpPr>
      <xdr:spPr>
        <a:xfrm>
          <a:off x="1752600" y="66675"/>
          <a:ext cx="1714500" cy="18097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Team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19050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323850</xdr:colOff>
      <xdr:row>2</xdr:row>
      <xdr:rowOff>19050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001375" y="190500"/>
          <a:ext cx="933450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13</xdr:col>
      <xdr:colOff>0</xdr:colOff>
      <xdr:row>1</xdr:row>
      <xdr:rowOff>0</xdr:rowOff>
    </xdr:from>
    <xdr:to>
      <xdr:col>14</xdr:col>
      <xdr:colOff>447675</xdr:colOff>
      <xdr:row>2</xdr:row>
      <xdr:rowOff>19050</xdr:rowOff>
    </xdr:to>
    <xdr:sp macro="[0]!Sort_Stage_by_Category">
      <xdr:nvSpPr>
        <xdr:cNvPr id="2" name="Rectangle 2"/>
        <xdr:cNvSpPr>
          <a:spLocks/>
        </xdr:cNvSpPr>
      </xdr:nvSpPr>
      <xdr:spPr>
        <a:xfrm>
          <a:off x="9782175" y="190500"/>
          <a:ext cx="1057275" cy="209550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89"/>
  <sheetViews>
    <sheetView zoomScalePageLayoutView="0" workbookViewId="0" topLeftCell="A30">
      <selection activeCell="B43" sqref="B43"/>
    </sheetView>
  </sheetViews>
  <sheetFormatPr defaultColWidth="9.140625" defaultRowHeight="12.75"/>
  <cols>
    <col min="1" max="1" width="9.140625" style="24" customWidth="1"/>
    <col min="2" max="2" width="9.140625" style="25" customWidth="1"/>
    <col min="3" max="3" width="38.57421875" style="24" bestFit="1" customWidth="1"/>
    <col min="4" max="4" width="19.140625" style="24" bestFit="1" customWidth="1"/>
    <col min="5" max="5" width="15.421875" style="34" customWidth="1"/>
    <col min="6" max="16384" width="9.140625" style="24" customWidth="1"/>
  </cols>
  <sheetData>
    <row r="1" spans="1:5" ht="15">
      <c r="A1" s="63" t="s">
        <v>111</v>
      </c>
      <c r="E1" s="64" t="s">
        <v>112</v>
      </c>
    </row>
    <row r="2" spans="1:5" ht="15">
      <c r="A2" s="53" t="s">
        <v>113</v>
      </c>
      <c r="B2" s="65"/>
      <c r="C2" s="54"/>
      <c r="D2" s="54"/>
      <c r="E2" s="55"/>
    </row>
    <row r="3" spans="1:5" s="33" customFormat="1" ht="15">
      <c r="A3" s="53" t="s">
        <v>114</v>
      </c>
      <c r="B3" s="66"/>
      <c r="C3" s="53" t="s">
        <v>27</v>
      </c>
      <c r="D3" s="53" t="s">
        <v>115</v>
      </c>
      <c r="E3" s="56" t="s">
        <v>116</v>
      </c>
    </row>
    <row r="4" spans="1:5" ht="15">
      <c r="A4" s="54">
        <v>1</v>
      </c>
      <c r="B4" s="67" t="s">
        <v>3</v>
      </c>
      <c r="C4" s="54" t="s">
        <v>117</v>
      </c>
      <c r="D4" s="54" t="s">
        <v>118</v>
      </c>
      <c r="E4" s="55" t="s">
        <v>119</v>
      </c>
    </row>
    <row r="5" spans="1:5" ht="15">
      <c r="A5" s="54">
        <v>2</v>
      </c>
      <c r="B5" s="67" t="s">
        <v>3</v>
      </c>
      <c r="C5" s="54" t="s">
        <v>98</v>
      </c>
      <c r="D5" s="54" t="s">
        <v>28</v>
      </c>
      <c r="E5" s="55" t="s">
        <v>99</v>
      </c>
    </row>
    <row r="6" spans="1:5" ht="15">
      <c r="A6" s="54">
        <v>3</v>
      </c>
      <c r="B6" s="67" t="s">
        <v>3</v>
      </c>
      <c r="C6" s="54" t="s">
        <v>120</v>
      </c>
      <c r="D6" s="54" t="s">
        <v>121</v>
      </c>
      <c r="E6" s="55" t="s">
        <v>122</v>
      </c>
    </row>
    <row r="7" spans="1:5" ht="15">
      <c r="A7" s="54">
        <v>4</v>
      </c>
      <c r="B7" s="67" t="s">
        <v>3</v>
      </c>
      <c r="C7" s="54" t="s">
        <v>123</v>
      </c>
      <c r="D7" s="54" t="s">
        <v>121</v>
      </c>
      <c r="E7" s="55" t="s">
        <v>122</v>
      </c>
    </row>
    <row r="8" spans="1:5" ht="15">
      <c r="A8" s="54">
        <v>5</v>
      </c>
      <c r="B8" s="67" t="s">
        <v>3</v>
      </c>
      <c r="C8" s="54" t="s">
        <v>124</v>
      </c>
      <c r="D8" s="54" t="s">
        <v>125</v>
      </c>
      <c r="E8" s="55" t="s">
        <v>126</v>
      </c>
    </row>
    <row r="9" spans="1:5" ht="15">
      <c r="A9" s="54">
        <v>6</v>
      </c>
      <c r="B9" s="67" t="s">
        <v>3</v>
      </c>
      <c r="C9" s="54" t="s">
        <v>127</v>
      </c>
      <c r="D9" s="54" t="s">
        <v>128</v>
      </c>
      <c r="E9" s="55" t="s">
        <v>96</v>
      </c>
    </row>
    <row r="10" spans="1:5" ht="15">
      <c r="A10" s="54">
        <v>7</v>
      </c>
      <c r="B10" s="67" t="s">
        <v>3</v>
      </c>
      <c r="C10" s="54" t="s">
        <v>129</v>
      </c>
      <c r="D10" s="54" t="s">
        <v>130</v>
      </c>
      <c r="E10" s="55" t="s">
        <v>131</v>
      </c>
    </row>
    <row r="11" spans="1:5" ht="15">
      <c r="A11" s="54">
        <v>8</v>
      </c>
      <c r="B11" s="67" t="s">
        <v>3</v>
      </c>
      <c r="C11" s="54" t="s">
        <v>132</v>
      </c>
      <c r="D11" s="54" t="s">
        <v>133</v>
      </c>
      <c r="E11" s="55" t="s">
        <v>134</v>
      </c>
    </row>
    <row r="12" spans="1:5" ht="15">
      <c r="A12" s="54">
        <v>9</v>
      </c>
      <c r="B12" s="67" t="s">
        <v>3</v>
      </c>
      <c r="C12" s="54" t="s">
        <v>135</v>
      </c>
      <c r="D12" s="54" t="s">
        <v>94</v>
      </c>
      <c r="E12" s="55" t="s">
        <v>95</v>
      </c>
    </row>
    <row r="13" spans="1:5" ht="15">
      <c r="A13" s="54">
        <v>10</v>
      </c>
      <c r="B13" s="67" t="s">
        <v>3</v>
      </c>
      <c r="C13" s="54" t="s">
        <v>136</v>
      </c>
      <c r="D13" s="54" t="s">
        <v>29</v>
      </c>
      <c r="E13" s="55" t="s">
        <v>30</v>
      </c>
    </row>
    <row r="14" spans="1:5" ht="15">
      <c r="A14" s="54">
        <v>11</v>
      </c>
      <c r="B14" s="67" t="s">
        <v>3</v>
      </c>
      <c r="C14" s="54" t="s">
        <v>65</v>
      </c>
      <c r="D14" s="54" t="s">
        <v>137</v>
      </c>
      <c r="E14" s="55" t="s">
        <v>138</v>
      </c>
    </row>
    <row r="15" spans="1:5" ht="15">
      <c r="A15" s="54">
        <v>12</v>
      </c>
      <c r="B15" s="67" t="s">
        <v>2</v>
      </c>
      <c r="C15" s="54" t="s">
        <v>84</v>
      </c>
      <c r="D15" s="54" t="s">
        <v>139</v>
      </c>
      <c r="E15" s="55" t="s">
        <v>106</v>
      </c>
    </row>
    <row r="16" spans="1:5" ht="15">
      <c r="A16" s="54">
        <v>13</v>
      </c>
      <c r="B16" s="67" t="s">
        <v>3</v>
      </c>
      <c r="C16" s="54" t="s">
        <v>85</v>
      </c>
      <c r="D16" s="54" t="s">
        <v>140</v>
      </c>
      <c r="E16" s="55" t="s">
        <v>106</v>
      </c>
    </row>
    <row r="17" spans="1:5" ht="15">
      <c r="A17" s="54">
        <v>14</v>
      </c>
      <c r="B17" s="67" t="s">
        <v>3</v>
      </c>
      <c r="C17" s="54" t="s">
        <v>141</v>
      </c>
      <c r="D17" s="54" t="s">
        <v>139</v>
      </c>
      <c r="E17" s="55" t="s">
        <v>106</v>
      </c>
    </row>
    <row r="18" spans="1:5" ht="15">
      <c r="A18" s="54">
        <v>15</v>
      </c>
      <c r="B18" s="67" t="s">
        <v>3</v>
      </c>
      <c r="C18" s="54" t="s">
        <v>142</v>
      </c>
      <c r="D18" s="54" t="s">
        <v>31</v>
      </c>
      <c r="E18" s="55" t="s">
        <v>32</v>
      </c>
    </row>
    <row r="19" spans="1:5" ht="15">
      <c r="A19" s="54">
        <v>16</v>
      </c>
      <c r="B19" s="67" t="s">
        <v>3</v>
      </c>
      <c r="C19" s="54" t="s">
        <v>143</v>
      </c>
      <c r="D19" s="54" t="s">
        <v>31</v>
      </c>
      <c r="E19" s="55" t="s">
        <v>144</v>
      </c>
    </row>
    <row r="20" spans="1:5" ht="15">
      <c r="A20" s="54">
        <v>17</v>
      </c>
      <c r="B20" s="67" t="s">
        <v>3</v>
      </c>
      <c r="C20" s="54" t="s">
        <v>107</v>
      </c>
      <c r="D20" s="54" t="s">
        <v>86</v>
      </c>
      <c r="E20" s="55" t="s">
        <v>108</v>
      </c>
    </row>
    <row r="21" spans="1:5" ht="15">
      <c r="A21" s="54">
        <v>18</v>
      </c>
      <c r="B21" s="67" t="s">
        <v>3</v>
      </c>
      <c r="C21" s="54" t="s">
        <v>109</v>
      </c>
      <c r="D21" s="54" t="s">
        <v>86</v>
      </c>
      <c r="E21" s="55" t="s">
        <v>108</v>
      </c>
    </row>
    <row r="22" spans="1:5" ht="15">
      <c r="A22" s="54">
        <v>19</v>
      </c>
      <c r="B22" s="67" t="s">
        <v>3</v>
      </c>
      <c r="C22" s="54" t="s">
        <v>110</v>
      </c>
      <c r="D22" s="54" t="s">
        <v>86</v>
      </c>
      <c r="E22" s="55" t="s">
        <v>108</v>
      </c>
    </row>
    <row r="23" spans="1:5" ht="15">
      <c r="A23" s="54">
        <v>20</v>
      </c>
      <c r="B23" s="67" t="s">
        <v>3</v>
      </c>
      <c r="C23" s="54" t="s">
        <v>145</v>
      </c>
      <c r="D23" s="54" t="s">
        <v>146</v>
      </c>
      <c r="E23" s="55" t="s">
        <v>55</v>
      </c>
    </row>
    <row r="24" spans="1:5" ht="15">
      <c r="A24" s="54"/>
      <c r="B24" s="66"/>
      <c r="C24" s="54"/>
      <c r="D24" s="54" t="s">
        <v>147</v>
      </c>
      <c r="E24" s="55" t="s">
        <v>148</v>
      </c>
    </row>
    <row r="25" spans="1:5" ht="15">
      <c r="A25" s="54">
        <v>21</v>
      </c>
      <c r="B25" s="67" t="s">
        <v>3</v>
      </c>
      <c r="C25" s="54" t="s">
        <v>149</v>
      </c>
      <c r="D25" s="54" t="s">
        <v>150</v>
      </c>
      <c r="E25" s="55" t="s">
        <v>151</v>
      </c>
    </row>
    <row r="26" spans="1:5" ht="15">
      <c r="A26" s="54">
        <v>22</v>
      </c>
      <c r="B26" s="67" t="s">
        <v>3</v>
      </c>
      <c r="C26" s="54" t="s">
        <v>152</v>
      </c>
      <c r="D26" s="54" t="s">
        <v>153</v>
      </c>
      <c r="E26" s="55" t="s">
        <v>154</v>
      </c>
    </row>
    <row r="27" spans="1:5" ht="15">
      <c r="A27" s="54">
        <v>23</v>
      </c>
      <c r="B27" s="67" t="s">
        <v>3</v>
      </c>
      <c r="C27" s="54" t="s">
        <v>81</v>
      </c>
      <c r="D27" s="54" t="s">
        <v>155</v>
      </c>
      <c r="E27" s="55" t="s">
        <v>156</v>
      </c>
    </row>
    <row r="28" spans="1:5" ht="15">
      <c r="A28" s="54">
        <v>24</v>
      </c>
      <c r="B28" s="67" t="s">
        <v>3</v>
      </c>
      <c r="C28" s="54" t="s">
        <v>157</v>
      </c>
      <c r="D28" s="54" t="s">
        <v>158</v>
      </c>
      <c r="E28" s="55" t="s">
        <v>159</v>
      </c>
    </row>
    <row r="29" spans="1:5" ht="15">
      <c r="A29" s="54">
        <v>25</v>
      </c>
      <c r="B29" s="67" t="s">
        <v>3</v>
      </c>
      <c r="C29" s="54" t="s">
        <v>160</v>
      </c>
      <c r="D29" s="54" t="s">
        <v>88</v>
      </c>
      <c r="E29" s="55" t="s">
        <v>161</v>
      </c>
    </row>
    <row r="30" spans="1:5" ht="15">
      <c r="A30" s="54">
        <v>26</v>
      </c>
      <c r="B30" s="67" t="s">
        <v>3</v>
      </c>
      <c r="C30" s="54" t="s">
        <v>162</v>
      </c>
      <c r="D30" s="54" t="s">
        <v>38</v>
      </c>
      <c r="E30" s="55" t="s">
        <v>39</v>
      </c>
    </row>
    <row r="31" spans="1:5" ht="15">
      <c r="A31" s="54">
        <v>27</v>
      </c>
      <c r="B31" s="67" t="s">
        <v>3</v>
      </c>
      <c r="C31" s="54" t="s">
        <v>97</v>
      </c>
      <c r="D31" s="54" t="s">
        <v>38</v>
      </c>
      <c r="E31" s="55" t="s">
        <v>39</v>
      </c>
    </row>
    <row r="32" spans="1:5" ht="15">
      <c r="A32" s="54">
        <v>28</v>
      </c>
      <c r="B32" s="67" t="s">
        <v>3</v>
      </c>
      <c r="C32" s="54" t="s">
        <v>91</v>
      </c>
      <c r="D32" s="54" t="s">
        <v>35</v>
      </c>
      <c r="E32" s="55" t="s">
        <v>36</v>
      </c>
    </row>
    <row r="33" spans="1:5" ht="15">
      <c r="A33" s="54">
        <v>29</v>
      </c>
      <c r="B33" s="67" t="s">
        <v>3</v>
      </c>
      <c r="C33" s="54" t="s">
        <v>92</v>
      </c>
      <c r="D33" s="54" t="s">
        <v>35</v>
      </c>
      <c r="E33" s="55" t="s">
        <v>36</v>
      </c>
    </row>
    <row r="34" spans="1:5" ht="15">
      <c r="A34" s="54">
        <v>30</v>
      </c>
      <c r="B34" s="67" t="s">
        <v>3</v>
      </c>
      <c r="C34" s="54" t="s">
        <v>100</v>
      </c>
      <c r="D34" s="54" t="s">
        <v>33</v>
      </c>
      <c r="E34" s="55" t="s">
        <v>34</v>
      </c>
    </row>
    <row r="35" spans="1:5" ht="15">
      <c r="A35" s="54">
        <v>31</v>
      </c>
      <c r="B35" s="67" t="s">
        <v>3</v>
      </c>
      <c r="C35" s="54" t="s">
        <v>101</v>
      </c>
      <c r="D35" s="54" t="s">
        <v>155</v>
      </c>
      <c r="E35" s="55" t="s">
        <v>156</v>
      </c>
    </row>
    <row r="36" spans="1:5" ht="15">
      <c r="A36" s="54">
        <v>32</v>
      </c>
      <c r="B36" s="67" t="s">
        <v>3</v>
      </c>
      <c r="C36" s="54" t="s">
        <v>163</v>
      </c>
      <c r="D36" s="54" t="s">
        <v>164</v>
      </c>
      <c r="E36" s="55" t="s">
        <v>165</v>
      </c>
    </row>
    <row r="37" spans="1:5" ht="15">
      <c r="A37" s="54">
        <v>33</v>
      </c>
      <c r="B37" s="67" t="s">
        <v>3</v>
      </c>
      <c r="C37" s="54" t="s">
        <v>166</v>
      </c>
      <c r="D37" s="54" t="s">
        <v>164</v>
      </c>
      <c r="E37" s="55" t="s">
        <v>165</v>
      </c>
    </row>
    <row r="38" spans="1:5" ht="15">
      <c r="A38" s="54">
        <v>34</v>
      </c>
      <c r="B38" s="67" t="s">
        <v>3</v>
      </c>
      <c r="C38" s="54" t="s">
        <v>167</v>
      </c>
      <c r="D38" s="54" t="s">
        <v>164</v>
      </c>
      <c r="E38" s="55" t="s">
        <v>165</v>
      </c>
    </row>
    <row r="39" spans="1:5" ht="15">
      <c r="A39" s="54">
        <v>35</v>
      </c>
      <c r="B39" s="67" t="s">
        <v>3</v>
      </c>
      <c r="C39" s="54" t="s">
        <v>168</v>
      </c>
      <c r="D39" s="54" t="s">
        <v>169</v>
      </c>
      <c r="E39" s="55" t="s">
        <v>170</v>
      </c>
    </row>
    <row r="40" spans="1:5" ht="15">
      <c r="A40" s="54">
        <v>36</v>
      </c>
      <c r="B40" s="67" t="s">
        <v>3</v>
      </c>
      <c r="C40" s="54" t="s">
        <v>102</v>
      </c>
      <c r="D40" s="54" t="s">
        <v>155</v>
      </c>
      <c r="E40" s="55" t="s">
        <v>156</v>
      </c>
    </row>
    <row r="41" spans="1:5" ht="15">
      <c r="A41" s="54">
        <v>37</v>
      </c>
      <c r="B41" s="67" t="s">
        <v>3</v>
      </c>
      <c r="C41" s="54" t="s">
        <v>103</v>
      </c>
      <c r="D41" s="54" t="s">
        <v>155</v>
      </c>
      <c r="E41" s="55" t="s">
        <v>156</v>
      </c>
    </row>
    <row r="42" spans="1:5" ht="15">
      <c r="A42" s="54">
        <v>38</v>
      </c>
      <c r="B42" s="67" t="s">
        <v>3</v>
      </c>
      <c r="C42" s="54" t="s">
        <v>104</v>
      </c>
      <c r="D42" s="54" t="s">
        <v>171</v>
      </c>
      <c r="E42" s="55" t="s">
        <v>172</v>
      </c>
    </row>
    <row r="43" spans="1:5" ht="15">
      <c r="A43" s="54">
        <v>39</v>
      </c>
      <c r="B43" s="67" t="s">
        <v>3</v>
      </c>
      <c r="C43" s="54" t="s">
        <v>105</v>
      </c>
      <c r="D43" s="54" t="s">
        <v>171</v>
      </c>
      <c r="E43" s="55" t="s">
        <v>172</v>
      </c>
    </row>
    <row r="44" spans="1:5" ht="15">
      <c r="A44" s="54">
        <v>40</v>
      </c>
      <c r="B44" s="67" t="s">
        <v>3</v>
      </c>
      <c r="C44" s="54" t="s">
        <v>173</v>
      </c>
      <c r="D44" s="54" t="s">
        <v>174</v>
      </c>
      <c r="E44" s="55" t="s">
        <v>175</v>
      </c>
    </row>
    <row r="45" spans="1:5" ht="15">
      <c r="A45" s="54">
        <v>41</v>
      </c>
      <c r="B45" s="67" t="s">
        <v>3</v>
      </c>
      <c r="C45" s="54" t="s">
        <v>176</v>
      </c>
      <c r="D45" s="54" t="s">
        <v>174</v>
      </c>
      <c r="E45" s="55" t="s">
        <v>175</v>
      </c>
    </row>
    <row r="46" spans="1:5" ht="15">
      <c r="A46" s="53" t="s">
        <v>177</v>
      </c>
      <c r="B46" s="66"/>
      <c r="C46" s="54"/>
      <c r="D46" s="54"/>
      <c r="E46" s="55"/>
    </row>
    <row r="47" spans="1:5" ht="15">
      <c r="A47" s="54">
        <v>50</v>
      </c>
      <c r="B47" s="67" t="s">
        <v>2</v>
      </c>
      <c r="C47" s="54" t="s">
        <v>44</v>
      </c>
      <c r="D47" s="54" t="s">
        <v>38</v>
      </c>
      <c r="E47" s="55" t="s">
        <v>39</v>
      </c>
    </row>
    <row r="48" spans="1:5" ht="15">
      <c r="A48" s="54">
        <v>51</v>
      </c>
      <c r="B48" s="67" t="s">
        <v>2</v>
      </c>
      <c r="C48" s="54" t="s">
        <v>178</v>
      </c>
      <c r="D48" s="54" t="s">
        <v>35</v>
      </c>
      <c r="E48" s="55" t="s">
        <v>36</v>
      </c>
    </row>
    <row r="49" spans="1:5" ht="15">
      <c r="A49" s="54">
        <v>52</v>
      </c>
      <c r="B49" s="67" t="s">
        <v>2</v>
      </c>
      <c r="C49" s="54" t="s">
        <v>179</v>
      </c>
      <c r="D49" s="54" t="s">
        <v>153</v>
      </c>
      <c r="E49" s="55" t="s">
        <v>154</v>
      </c>
    </row>
    <row r="50" spans="1:5" ht="15">
      <c r="A50" s="54">
        <v>53</v>
      </c>
      <c r="B50" s="67" t="s">
        <v>2</v>
      </c>
      <c r="C50" s="54" t="s">
        <v>87</v>
      </c>
      <c r="D50" s="54" t="s">
        <v>171</v>
      </c>
      <c r="E50" s="55" t="s">
        <v>172</v>
      </c>
    </row>
    <row r="51" spans="1:5" ht="15">
      <c r="A51" s="53" t="s">
        <v>180</v>
      </c>
      <c r="B51" s="66"/>
      <c r="C51" s="54"/>
      <c r="D51" s="54"/>
      <c r="E51" s="55"/>
    </row>
    <row r="52" spans="1:5" ht="15">
      <c r="A52" s="54">
        <v>57</v>
      </c>
      <c r="B52" s="67" t="s">
        <v>0</v>
      </c>
      <c r="C52" s="54" t="s">
        <v>181</v>
      </c>
      <c r="D52" s="54" t="s">
        <v>171</v>
      </c>
      <c r="E52" s="55" t="s">
        <v>172</v>
      </c>
    </row>
    <row r="53" spans="1:5" ht="15">
      <c r="A53" s="54">
        <v>58</v>
      </c>
      <c r="B53" s="67" t="s">
        <v>0</v>
      </c>
      <c r="C53" s="54" t="s">
        <v>182</v>
      </c>
      <c r="D53" s="54" t="s">
        <v>171</v>
      </c>
      <c r="E53" s="55" t="s">
        <v>172</v>
      </c>
    </row>
    <row r="54" spans="1:5" ht="15">
      <c r="A54" s="54">
        <v>59</v>
      </c>
      <c r="B54" s="67" t="s">
        <v>0</v>
      </c>
      <c r="C54" s="54" t="s">
        <v>183</v>
      </c>
      <c r="D54" s="54" t="s">
        <v>164</v>
      </c>
      <c r="E54" s="55" t="s">
        <v>165</v>
      </c>
    </row>
    <row r="55" spans="1:5" ht="15">
      <c r="A55" s="54">
        <v>60</v>
      </c>
      <c r="B55" s="67" t="s">
        <v>0</v>
      </c>
      <c r="C55" s="54" t="s">
        <v>184</v>
      </c>
      <c r="D55" s="54" t="s">
        <v>185</v>
      </c>
      <c r="E55" s="55" t="s">
        <v>186</v>
      </c>
    </row>
    <row r="56" spans="1:5" ht="15">
      <c r="A56" s="54">
        <v>61</v>
      </c>
      <c r="B56" s="67" t="s">
        <v>0</v>
      </c>
      <c r="C56" s="54" t="s">
        <v>187</v>
      </c>
      <c r="D56" s="54" t="s">
        <v>133</v>
      </c>
      <c r="E56" s="55" t="s">
        <v>134</v>
      </c>
    </row>
    <row r="57" spans="1:5" ht="15">
      <c r="A57" s="54">
        <v>62</v>
      </c>
      <c r="B57" s="67" t="s">
        <v>0</v>
      </c>
      <c r="C57" s="54" t="s">
        <v>188</v>
      </c>
      <c r="D57" s="54" t="s">
        <v>94</v>
      </c>
      <c r="E57" s="55" t="s">
        <v>95</v>
      </c>
    </row>
    <row r="58" spans="1:5" ht="15">
      <c r="A58" s="54">
        <v>63</v>
      </c>
      <c r="B58" s="67" t="s">
        <v>0</v>
      </c>
      <c r="C58" s="54" t="s">
        <v>65</v>
      </c>
      <c r="D58" s="54" t="s">
        <v>189</v>
      </c>
      <c r="E58" s="55" t="s">
        <v>190</v>
      </c>
    </row>
    <row r="59" spans="1:5" ht="15">
      <c r="A59" s="54">
        <v>64</v>
      </c>
      <c r="B59" s="67" t="s">
        <v>0</v>
      </c>
      <c r="C59" s="54" t="s">
        <v>191</v>
      </c>
      <c r="D59" s="54" t="s">
        <v>86</v>
      </c>
      <c r="E59" s="55" t="s">
        <v>108</v>
      </c>
    </row>
    <row r="60" spans="1:5" ht="15">
      <c r="A60" s="54">
        <v>65</v>
      </c>
      <c r="B60" s="67" t="s">
        <v>0</v>
      </c>
      <c r="C60" s="54" t="s">
        <v>192</v>
      </c>
      <c r="D60" s="54" t="s">
        <v>86</v>
      </c>
      <c r="E60" s="55" t="s">
        <v>108</v>
      </c>
    </row>
    <row r="61" spans="1:5" ht="15">
      <c r="A61" s="54">
        <v>66</v>
      </c>
      <c r="B61" s="67" t="s">
        <v>0</v>
      </c>
      <c r="C61" s="54" t="s">
        <v>193</v>
      </c>
      <c r="D61" s="54" t="s">
        <v>194</v>
      </c>
      <c r="E61" s="55" t="s">
        <v>195</v>
      </c>
    </row>
    <row r="62" spans="1:5" ht="15">
      <c r="A62" s="54">
        <v>67</v>
      </c>
      <c r="B62" s="67" t="s">
        <v>0</v>
      </c>
      <c r="C62" s="54" t="s">
        <v>196</v>
      </c>
      <c r="D62" s="54" t="s">
        <v>194</v>
      </c>
      <c r="E62" s="55" t="s">
        <v>195</v>
      </c>
    </row>
    <row r="63" spans="1:5" ht="15">
      <c r="A63" s="54">
        <v>68</v>
      </c>
      <c r="B63" s="67" t="s">
        <v>0</v>
      </c>
      <c r="C63" s="54" t="s">
        <v>197</v>
      </c>
      <c r="D63" s="54" t="s">
        <v>174</v>
      </c>
      <c r="E63" s="55" t="s">
        <v>175</v>
      </c>
    </row>
    <row r="64" spans="1:5" ht="15">
      <c r="A64" s="54">
        <v>69</v>
      </c>
      <c r="B64" s="67" t="s">
        <v>0</v>
      </c>
      <c r="C64" s="54" t="s">
        <v>198</v>
      </c>
      <c r="D64" s="54" t="s">
        <v>88</v>
      </c>
      <c r="E64" s="55" t="s">
        <v>161</v>
      </c>
    </row>
    <row r="65" spans="1:5" ht="15">
      <c r="A65" s="54">
        <v>70</v>
      </c>
      <c r="B65" s="67" t="s">
        <v>0</v>
      </c>
      <c r="C65" s="54" t="s">
        <v>199</v>
      </c>
      <c r="D65" s="54" t="s">
        <v>38</v>
      </c>
      <c r="E65" s="55" t="s">
        <v>39</v>
      </c>
    </row>
    <row r="66" spans="1:5" ht="15">
      <c r="A66" s="54"/>
      <c r="B66" s="66"/>
      <c r="C66" s="54"/>
      <c r="D66" s="54"/>
      <c r="E66" s="55"/>
    </row>
    <row r="67" spans="1:5" ht="15">
      <c r="A67" s="54"/>
      <c r="B67" s="66"/>
      <c r="C67" s="54"/>
      <c r="D67" s="54"/>
      <c r="E67" s="55"/>
    </row>
    <row r="68" spans="1:5" ht="15">
      <c r="A68" s="54"/>
      <c r="B68" s="66"/>
      <c r="C68" s="54"/>
      <c r="D68" s="54"/>
      <c r="E68" s="55"/>
    </row>
    <row r="69" spans="1:5" ht="15">
      <c r="A69" s="54"/>
      <c r="B69" s="66"/>
      <c r="C69" s="54"/>
      <c r="D69" s="54"/>
      <c r="E69" s="55"/>
    </row>
    <row r="70" spans="1:5" ht="15">
      <c r="A70" s="53" t="s">
        <v>90</v>
      </c>
      <c r="B70" s="66"/>
      <c r="C70" s="54"/>
      <c r="D70" s="54"/>
      <c r="E70" s="55"/>
    </row>
    <row r="71" spans="1:5" ht="15">
      <c r="A71" s="54" t="s">
        <v>45</v>
      </c>
      <c r="B71" s="66"/>
      <c r="C71" s="54" t="s">
        <v>46</v>
      </c>
      <c r="D71" s="54" t="s">
        <v>42</v>
      </c>
      <c r="E71" s="55" t="s">
        <v>43</v>
      </c>
    </row>
    <row r="72" spans="1:5" ht="15">
      <c r="A72" s="54"/>
      <c r="B72" s="66"/>
      <c r="C72" s="54"/>
      <c r="D72" s="54" t="s">
        <v>37</v>
      </c>
      <c r="E72" s="55" t="s">
        <v>93</v>
      </c>
    </row>
    <row r="73" spans="1:5" ht="15">
      <c r="A73" s="54"/>
      <c r="B73" s="66"/>
      <c r="C73" s="54" t="s">
        <v>47</v>
      </c>
      <c r="D73" s="54" t="s">
        <v>40</v>
      </c>
      <c r="E73" s="55" t="s">
        <v>41</v>
      </c>
    </row>
    <row r="74" spans="1:5" ht="15">
      <c r="A74" s="54" t="s">
        <v>48</v>
      </c>
      <c r="B74" s="66"/>
      <c r="C74" s="54" t="s">
        <v>200</v>
      </c>
      <c r="D74" s="54" t="s">
        <v>153</v>
      </c>
      <c r="E74" s="55" t="s">
        <v>154</v>
      </c>
    </row>
    <row r="75" spans="1:5" ht="15">
      <c r="A75" s="54" t="s">
        <v>201</v>
      </c>
      <c r="B75" s="66"/>
      <c r="C75" s="54" t="s">
        <v>49</v>
      </c>
      <c r="D75" s="54" t="s">
        <v>174</v>
      </c>
      <c r="E75" s="55" t="s">
        <v>175</v>
      </c>
    </row>
    <row r="76" spans="1:5" ht="15">
      <c r="A76" s="54" t="s">
        <v>50</v>
      </c>
      <c r="B76" s="66"/>
      <c r="C76" s="54" t="s">
        <v>51</v>
      </c>
      <c r="D76" s="54" t="s">
        <v>52</v>
      </c>
      <c r="E76" s="55" t="s">
        <v>53</v>
      </c>
    </row>
    <row r="77" spans="1:5" ht="15">
      <c r="A77" s="54"/>
      <c r="B77" s="66"/>
      <c r="C77" s="54" t="s">
        <v>54</v>
      </c>
      <c r="D77" s="54" t="s">
        <v>202</v>
      </c>
      <c r="E77" s="55" t="s">
        <v>203</v>
      </c>
    </row>
    <row r="78" spans="1:5" ht="15">
      <c r="A78" s="54" t="s">
        <v>56</v>
      </c>
      <c r="B78" s="66"/>
      <c r="C78" s="54" t="s">
        <v>57</v>
      </c>
      <c r="D78" s="54" t="s">
        <v>33</v>
      </c>
      <c r="E78" s="55" t="s">
        <v>34</v>
      </c>
    </row>
    <row r="79" spans="1:5" ht="15">
      <c r="A79" s="54" t="s">
        <v>58</v>
      </c>
      <c r="B79" s="66"/>
      <c r="C79" s="54" t="s">
        <v>59</v>
      </c>
      <c r="D79" s="54" t="s">
        <v>60</v>
      </c>
      <c r="E79" s="55" t="s">
        <v>61</v>
      </c>
    </row>
    <row r="80" spans="1:5" ht="15">
      <c r="A80" s="54" t="s">
        <v>62</v>
      </c>
      <c r="B80" s="66"/>
      <c r="C80" s="54" t="s">
        <v>63</v>
      </c>
      <c r="D80" s="54" t="s">
        <v>82</v>
      </c>
      <c r="E80" s="55" t="s">
        <v>83</v>
      </c>
    </row>
    <row r="81" spans="1:5" ht="15">
      <c r="A81" s="54" t="s">
        <v>64</v>
      </c>
      <c r="B81" s="66"/>
      <c r="C81" s="54" t="s">
        <v>204</v>
      </c>
      <c r="D81" s="54" t="s">
        <v>88</v>
      </c>
      <c r="E81" s="55" t="s">
        <v>89</v>
      </c>
    </row>
    <row r="82" spans="1:5" ht="15">
      <c r="A82" s="54" t="s">
        <v>66</v>
      </c>
      <c r="B82" s="66"/>
      <c r="C82" s="54" t="s">
        <v>68</v>
      </c>
      <c r="D82" s="54" t="s">
        <v>42</v>
      </c>
      <c r="E82" s="55" t="s">
        <v>43</v>
      </c>
    </row>
    <row r="83" spans="1:5" ht="15">
      <c r="A83" s="54"/>
      <c r="B83" s="66"/>
      <c r="C83" s="54"/>
      <c r="D83" s="54" t="s">
        <v>37</v>
      </c>
      <c r="E83" s="55" t="s">
        <v>93</v>
      </c>
    </row>
    <row r="84" spans="1:5" ht="15">
      <c r="A84" s="54" t="s">
        <v>67</v>
      </c>
      <c r="B84" s="66"/>
      <c r="C84" s="54" t="s">
        <v>68</v>
      </c>
      <c r="D84" s="54" t="s">
        <v>38</v>
      </c>
      <c r="E84" s="55" t="s">
        <v>39</v>
      </c>
    </row>
    <row r="85" spans="1:5" ht="15">
      <c r="A85" s="54"/>
      <c r="B85" s="66"/>
      <c r="C85" s="54"/>
      <c r="D85" s="54"/>
      <c r="E85" s="55"/>
    </row>
    <row r="86" spans="1:5" ht="15">
      <c r="A86" s="54"/>
      <c r="B86" s="66"/>
      <c r="C86" s="54"/>
      <c r="D86" s="54"/>
      <c r="E86" s="55"/>
    </row>
    <row r="87" spans="1:5" ht="15">
      <c r="A87" s="54"/>
      <c r="B87" s="66"/>
      <c r="C87" s="54"/>
      <c r="D87" s="54"/>
      <c r="E87" s="55"/>
    </row>
    <row r="88" spans="1:5" ht="15">
      <c r="A88" s="54"/>
      <c r="B88" s="66"/>
      <c r="C88" s="54"/>
      <c r="D88" s="54"/>
      <c r="E88" s="55"/>
    </row>
    <row r="89" spans="1:5" ht="15">
      <c r="A89" s="54"/>
      <c r="B89" s="66"/>
      <c r="C89" s="54"/>
      <c r="D89" s="54"/>
      <c r="E89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6.140625" style="25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8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8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10</v>
      </c>
      <c r="C3" s="30" t="str">
        <f>IF(ISBLANK(B3),"",VLOOKUP(B3,Entries!$A$4:$C$70,2,FALSE))</f>
        <v>A</v>
      </c>
      <c r="D3" s="31" t="str">
        <f>IF(ISBLANK(B3),"",VLOOKUP(B3,Entries!$A$4:$C$70,3,FALSE))</f>
        <v>Colchester Harriers - Colchester Allsorts</v>
      </c>
      <c r="E3" s="30">
        <f aca="true" t="shared" si="0" ref="E3:E32">IF(ISBLANK(B3),"",A3)</f>
        <v>1</v>
      </c>
      <c r="F3" s="30">
        <f>IF(ISBLANK(B3),"",VLOOKUP(B3,Overall!$B$4:$AR$75,33,FALSE))</f>
        <v>141</v>
      </c>
      <c r="H3" s="30">
        <v>1</v>
      </c>
      <c r="I3" s="30">
        <v>23</v>
      </c>
      <c r="J3" s="31" t="s">
        <v>81</v>
      </c>
      <c r="K3" s="30">
        <v>27</v>
      </c>
      <c r="AA3" s="25">
        <v>12</v>
      </c>
      <c r="AB3" s="25">
        <v>23</v>
      </c>
      <c r="AC3" s="25" t="s">
        <v>3</v>
      </c>
      <c r="AD3" s="24" t="s">
        <v>81</v>
      </c>
      <c r="AE3" s="25">
        <v>12</v>
      </c>
      <c r="AF3" s="25">
        <v>27</v>
      </c>
    </row>
    <row r="4" spans="1:32" ht="15">
      <c r="A4" s="30">
        <v>2</v>
      </c>
      <c r="B4" s="30">
        <v>26</v>
      </c>
      <c r="C4" s="30" t="str">
        <f>IF(ISBLANK(B4),"",VLOOKUP(B4,Entries!$A$4:$C$70,2,FALSE))</f>
        <v>A</v>
      </c>
      <c r="D4" s="31" t="str">
        <f>IF(ISBLANK(B4),"",VLOOKUP(B4,Entries!$A$4:$C$70,3,FALSE))</f>
        <v>Harwich Runners Men</v>
      </c>
      <c r="E4" s="30">
        <f t="shared" si="0"/>
        <v>2</v>
      </c>
      <c r="F4" s="30">
        <f>IF(ISBLANK(B4),"",VLOOKUP(B4,Overall!$B$4:$AR$75,33,FALSE))</f>
        <v>126</v>
      </c>
      <c r="G4" s="25">
        <f>IF(ISBLANK($B3),"",IF($B4=$B3,"*",""))</f>
      </c>
      <c r="H4" s="30">
        <v>2</v>
      </c>
      <c r="I4" s="30">
        <v>28</v>
      </c>
      <c r="J4" s="31" t="s">
        <v>91</v>
      </c>
      <c r="K4" s="30">
        <v>38</v>
      </c>
      <c r="AA4" s="25">
        <v>6</v>
      </c>
      <c r="AB4" s="25">
        <v>28</v>
      </c>
      <c r="AC4" s="25" t="s">
        <v>3</v>
      </c>
      <c r="AD4" s="24" t="s">
        <v>91</v>
      </c>
      <c r="AE4" s="25">
        <v>6</v>
      </c>
      <c r="AF4" s="25">
        <v>38</v>
      </c>
    </row>
    <row r="5" spans="1:32" ht="15">
      <c r="A5" s="30">
        <v>3</v>
      </c>
      <c r="B5" s="30">
        <v>21</v>
      </c>
      <c r="C5" s="30" t="str">
        <f>IF(ISBLANK(B5),"",VLOOKUP(B5,Entries!$A$4:$C$70,2,FALSE))</f>
        <v>A</v>
      </c>
      <c r="D5" s="31" t="str">
        <f>IF(ISBLANK(B5),"",VLOOKUP(B5,Entries!$A$4:$C$70,3,FALSE))</f>
        <v>TGT Men A</v>
      </c>
      <c r="E5" s="30">
        <f t="shared" si="0"/>
        <v>3</v>
      </c>
      <c r="F5" s="30">
        <f>IF(ISBLANK(B5),"",VLOOKUP(B5,Overall!$B$4:$AR$75,33,FALSE))</f>
        <v>57</v>
      </c>
      <c r="G5" s="25">
        <f>IF(ISBLANK($B4),"",IF(OR($B5=$B4,$B5=$B3),"*",""))</f>
      </c>
      <c r="H5" s="30">
        <v>3</v>
      </c>
      <c r="I5" s="30">
        <v>17</v>
      </c>
      <c r="J5" s="31" t="s">
        <v>107</v>
      </c>
      <c r="K5" s="30">
        <v>43</v>
      </c>
      <c r="AA5" s="25">
        <v>4</v>
      </c>
      <c r="AB5" s="25">
        <v>17</v>
      </c>
      <c r="AC5" s="25" t="s">
        <v>3</v>
      </c>
      <c r="AD5" s="24" t="s">
        <v>107</v>
      </c>
      <c r="AE5" s="25">
        <v>4</v>
      </c>
      <c r="AF5" s="25">
        <v>43</v>
      </c>
    </row>
    <row r="6" spans="1:32" ht="15">
      <c r="A6" s="30">
        <v>4</v>
      </c>
      <c r="B6" s="30">
        <v>17</v>
      </c>
      <c r="C6" s="30" t="str">
        <f>IF(ISBLANK(B6),"",VLOOKUP(B6,Entries!$A$4:$C$70,2,FALSE))</f>
        <v>A</v>
      </c>
      <c r="D6" s="31" t="str">
        <f>IF(ISBLANK(B6),"",VLOOKUP(B6,Entries!$A$4:$C$70,3,FALSE))</f>
        <v>Benfleet Men A</v>
      </c>
      <c r="E6" s="30">
        <f t="shared" si="0"/>
        <v>4</v>
      </c>
      <c r="F6" s="30">
        <f>IF(ISBLANK(B6),"",VLOOKUP(B6,Overall!$B$4:$AR$75,33,FALSE))</f>
        <v>43</v>
      </c>
      <c r="G6" s="25">
        <f>IF(ISBLANK($B5),"",IF(OR($B6=$B5,$B6=$B4,$B6=$B3),"*",""))</f>
      </c>
      <c r="H6" s="30">
        <v>4</v>
      </c>
      <c r="I6" s="30">
        <v>21</v>
      </c>
      <c r="J6" s="31" t="s">
        <v>149</v>
      </c>
      <c r="K6" s="30">
        <v>57</v>
      </c>
      <c r="AA6" s="25">
        <v>3</v>
      </c>
      <c r="AB6" s="25">
        <v>21</v>
      </c>
      <c r="AC6" s="25" t="s">
        <v>3</v>
      </c>
      <c r="AD6" s="24" t="s">
        <v>149</v>
      </c>
      <c r="AE6" s="25">
        <v>3</v>
      </c>
      <c r="AF6" s="25">
        <v>57</v>
      </c>
    </row>
    <row r="7" spans="1:32" ht="15">
      <c r="A7" s="30">
        <v>5</v>
      </c>
      <c r="B7" s="30">
        <v>24</v>
      </c>
      <c r="C7" s="30" t="str">
        <f>IF(ISBLANK(B7),"",VLOOKUP(B7,Entries!$A$4:$C$70,2,FALSE))</f>
        <v>A</v>
      </c>
      <c r="D7" s="31" t="str">
        <f>IF(ISBLANK(B7),"",VLOOKUP(B7,Entries!$A$4:$C$70,3,FALSE))</f>
        <v>Southend Men A</v>
      </c>
      <c r="E7" s="30">
        <f t="shared" si="0"/>
        <v>5</v>
      </c>
      <c r="F7" s="30">
        <f>IF(ISBLANK(B7),"",VLOOKUP(B7,Overall!$B$4:$AR$75,33,FALSE))</f>
        <v>74</v>
      </c>
      <c r="G7" s="25">
        <f>IF(ISBLANK($B6),"",IF(OR($B7=$B6,$B7=$B5,$B7=$B4,$B7=$B3),"*",""))</f>
      </c>
      <c r="H7" s="30">
        <v>5</v>
      </c>
      <c r="I7" s="30">
        <v>9</v>
      </c>
      <c r="J7" s="31" t="s">
        <v>135</v>
      </c>
      <c r="K7" s="30">
        <v>57</v>
      </c>
      <c r="AA7" s="25">
        <v>8</v>
      </c>
      <c r="AB7" s="25">
        <v>9</v>
      </c>
      <c r="AC7" s="25" t="s">
        <v>3</v>
      </c>
      <c r="AD7" s="24" t="s">
        <v>135</v>
      </c>
      <c r="AE7" s="25">
        <v>8</v>
      </c>
      <c r="AF7" s="25">
        <v>57</v>
      </c>
    </row>
    <row r="8" spans="1:32" ht="15">
      <c r="A8" s="30">
        <v>6</v>
      </c>
      <c r="B8" s="30">
        <v>28</v>
      </c>
      <c r="C8" s="30" t="str">
        <f>IF(ISBLANK(B8),"",VLOOKUP(B8,Entries!$A$4:$C$70,2,FALSE))</f>
        <v>A</v>
      </c>
      <c r="D8" s="31" t="str">
        <f>IF(ISBLANK(B8),"",VLOOKUP(B8,Entries!$A$4:$C$70,3,FALSE))</f>
        <v>Ilford A</v>
      </c>
      <c r="E8" s="30">
        <f t="shared" si="0"/>
        <v>6</v>
      </c>
      <c r="F8" s="30">
        <f>IF(ISBLANK(B8),"",VLOOKUP(B8,Overall!$B$4:$AR$75,33,FALSE))</f>
        <v>38</v>
      </c>
      <c r="G8" s="25">
        <f>IF(ISBLANK($B7),"",IF(OR($B8=$B7,$B8=$B6,$B8=$B5,$B8=$B4,$B8=$B3),"*",""))</f>
      </c>
      <c r="H8" s="30">
        <v>6</v>
      </c>
      <c r="I8" s="30">
        <v>31</v>
      </c>
      <c r="J8" s="31" t="s">
        <v>101</v>
      </c>
      <c r="K8" s="30">
        <v>62</v>
      </c>
      <c r="AA8" s="25">
        <v>18</v>
      </c>
      <c r="AB8" s="25">
        <v>31</v>
      </c>
      <c r="AC8" s="25" t="s">
        <v>3</v>
      </c>
      <c r="AD8" s="24" t="s">
        <v>101</v>
      </c>
      <c r="AE8" s="25">
        <v>18</v>
      </c>
      <c r="AF8" s="25">
        <v>62</v>
      </c>
    </row>
    <row r="9" spans="1:32" ht="15">
      <c r="A9" s="30">
        <v>7</v>
      </c>
      <c r="B9" s="30">
        <v>29</v>
      </c>
      <c r="C9" s="30" t="str">
        <f>IF(ISBLANK(B9),"",VLOOKUP(B9,Entries!$A$4:$C$70,2,FALSE))</f>
        <v>A</v>
      </c>
      <c r="D9" s="31" t="str">
        <f>IF(ISBLANK(B9),"",VLOOKUP(B9,Entries!$A$4:$C$70,3,FALSE))</f>
        <v>Ilford B</v>
      </c>
      <c r="E9" s="30">
        <f t="shared" si="0"/>
        <v>7</v>
      </c>
      <c r="F9" s="30">
        <f>IF(ISBLANK(B9),"",VLOOKUP(B9,Overall!$B$4:$AR$75,33,FALSE))</f>
        <v>240</v>
      </c>
      <c r="G9" s="25">
        <f>IF(ISBLANK($B8),"",IF(OR($B9=$B8,$B9=$B7,$B9=$B6,$B9=$B5,$B9=$B4,$B9=$B3),"*",""))</f>
      </c>
      <c r="H9" s="30">
        <v>7</v>
      </c>
      <c r="I9" s="30">
        <v>24</v>
      </c>
      <c r="J9" s="31" t="s">
        <v>157</v>
      </c>
      <c r="K9" s="30">
        <v>74</v>
      </c>
      <c r="AA9" s="25">
        <v>5</v>
      </c>
      <c r="AB9" s="25">
        <v>24</v>
      </c>
      <c r="AC9" s="25" t="s">
        <v>3</v>
      </c>
      <c r="AD9" s="24" t="s">
        <v>157</v>
      </c>
      <c r="AE9" s="25">
        <v>5</v>
      </c>
      <c r="AF9" s="25">
        <v>74</v>
      </c>
    </row>
    <row r="10" spans="1:32" ht="15">
      <c r="A10" s="30">
        <v>8</v>
      </c>
      <c r="B10" s="30">
        <v>9</v>
      </c>
      <c r="C10" s="30" t="str">
        <f>IF(ISBLANK(B10),"",VLOOKUP(B10,Entries!$A$4:$C$70,2,FALSE))</f>
        <v>A</v>
      </c>
      <c r="D10" s="31" t="str">
        <f>IF(ISBLANK(B10),"",VLOOKUP(B10,Entries!$A$4:$C$70,3,FALSE))</f>
        <v>Leigh on Sea Striders - I liked the Boys</v>
      </c>
      <c r="E10" s="30">
        <f t="shared" si="0"/>
        <v>8</v>
      </c>
      <c r="F10" s="30">
        <f>IF(ISBLANK(B10),"",VLOOKUP(B10,Overall!$B$4:$AR$75,33,FALSE))</f>
        <v>57</v>
      </c>
      <c r="G10" s="25">
        <f>IF(ISBLANK($B9),"",IF(OR($B10=$B9,$B10=$B8,$B10=$B7,$B10=$B6,$B10=$B5,$B10=$B4,$B10=$B3),"*",""))</f>
      </c>
      <c r="H10" s="30">
        <v>8</v>
      </c>
      <c r="I10" s="30">
        <v>32</v>
      </c>
      <c r="J10" s="31" t="s">
        <v>163</v>
      </c>
      <c r="K10" s="30">
        <v>80</v>
      </c>
      <c r="AA10" s="25">
        <v>15</v>
      </c>
      <c r="AB10" s="25">
        <v>32</v>
      </c>
      <c r="AC10" s="25" t="s">
        <v>3</v>
      </c>
      <c r="AD10" s="24" t="s">
        <v>163</v>
      </c>
      <c r="AE10" s="25">
        <v>15</v>
      </c>
      <c r="AF10" s="25">
        <v>80</v>
      </c>
    </row>
    <row r="11" spans="1:32" ht="15">
      <c r="A11" s="30">
        <v>9</v>
      </c>
      <c r="B11" s="30">
        <v>13</v>
      </c>
      <c r="C11" s="30" t="str">
        <f>IF(ISBLANK(B11),"",VLOOKUP(B11,Entries!$A$4:$C$70,2,FALSE))</f>
        <v>A</v>
      </c>
      <c r="D11" s="31" t="str">
        <f>IF(ISBLANK(B11),"",VLOOKUP(B11,Entries!$A$4:$C$70,3,FALSE))</f>
        <v>Mid Essex Casuals B</v>
      </c>
      <c r="E11" s="30">
        <f t="shared" si="0"/>
        <v>9</v>
      </c>
      <c r="F11" s="30">
        <f>IF(ISBLANK(B11),"",VLOOKUP(B11,Overall!$B$4:$AR$75,33,FALSE))</f>
        <v>191</v>
      </c>
      <c r="G11" s="25">
        <f>IF(ISBLANK($B10),"",IF(OR($B11=$B10,$B11=$B9,$B11=$B8,$B11=$B7,$B11=$B6,$B11=$B5,$B11=$B4,$B11=$B3),"*",""))</f>
      </c>
      <c r="H11" s="30">
        <v>9</v>
      </c>
      <c r="I11" s="30">
        <v>18</v>
      </c>
      <c r="J11" s="31" t="s">
        <v>109</v>
      </c>
      <c r="K11" s="30">
        <v>103</v>
      </c>
      <c r="AA11" s="25">
        <v>19</v>
      </c>
      <c r="AB11" s="25">
        <v>18</v>
      </c>
      <c r="AC11" s="25" t="s">
        <v>3</v>
      </c>
      <c r="AD11" s="24" t="s">
        <v>109</v>
      </c>
      <c r="AE11" s="25">
        <v>19</v>
      </c>
      <c r="AF11" s="25">
        <v>103</v>
      </c>
    </row>
    <row r="12" spans="1:32" ht="15">
      <c r="A12" s="30">
        <v>10</v>
      </c>
      <c r="B12" s="30">
        <v>1</v>
      </c>
      <c r="C12" s="30" t="str">
        <f>IF(ISBLANK(B12),"",VLOOKUP(B12,Entries!$A$4:$C$70,2,FALSE))</f>
        <v>A</v>
      </c>
      <c r="D12" s="31" t="str">
        <f>IF(ISBLANK(B12),"",VLOOKUP(B12,Entries!$A$4:$C$70,3,FALSE))</f>
        <v>Eton Manor AC</v>
      </c>
      <c r="E12" s="30">
        <f t="shared" si="0"/>
        <v>10</v>
      </c>
      <c r="F12" s="30">
        <f>IF(ISBLANK(B12),"",VLOOKUP(B12,Overall!$B$4:$AR$75,33,FALSE))</f>
        <v>233</v>
      </c>
      <c r="G12" s="25">
        <f>IF(ISBLANK($B12),"",IF(OR($B12=$B11,$B12=$B10,$B12=$B9,$B12=$B8,$B12=$B7,$B12=$B6,$B12=$B5,$B12=$B4,$B12=$B3),"*",""))</f>
      </c>
      <c r="H12" s="30">
        <v>10</v>
      </c>
      <c r="I12" s="30">
        <v>5</v>
      </c>
      <c r="J12" s="31" t="s">
        <v>124</v>
      </c>
      <c r="K12" s="30">
        <v>104</v>
      </c>
      <c r="AA12" s="25">
        <v>20</v>
      </c>
      <c r="AB12" s="25">
        <v>5</v>
      </c>
      <c r="AC12" s="25" t="s">
        <v>3</v>
      </c>
      <c r="AD12" s="24" t="s">
        <v>124</v>
      </c>
      <c r="AE12" s="25">
        <v>20</v>
      </c>
      <c r="AF12" s="25">
        <v>104</v>
      </c>
    </row>
    <row r="13" spans="1:32" ht="15">
      <c r="A13" s="30">
        <v>11</v>
      </c>
      <c r="B13" s="30">
        <v>7</v>
      </c>
      <c r="C13" s="30" t="str">
        <f>IF(ISBLANK(B13),"",VLOOKUP(B13,Entries!$A$4:$C$70,2,FALSE))</f>
        <v>A</v>
      </c>
      <c r="D13" s="31" t="str">
        <f>IF(ISBLANK(B13),"",VLOOKUP(B13,Entries!$A$4:$C$70,3,FALSE))</f>
        <v>Halstead Road Runners</v>
      </c>
      <c r="E13" s="30">
        <f t="shared" si="0"/>
        <v>11</v>
      </c>
      <c r="F13" s="30">
        <f>IF(ISBLANK(B13),"",VLOOKUP(B13,Overall!$B$4:$AR$75,33,FALSE))</f>
        <v>157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26</v>
      </c>
      <c r="J13" s="31" t="s">
        <v>162</v>
      </c>
      <c r="K13" s="30">
        <v>126</v>
      </c>
      <c r="AA13" s="25">
        <v>2</v>
      </c>
      <c r="AB13" s="25">
        <v>26</v>
      </c>
      <c r="AC13" s="25" t="s">
        <v>3</v>
      </c>
      <c r="AD13" s="24" t="s">
        <v>162</v>
      </c>
      <c r="AE13" s="25">
        <v>2</v>
      </c>
      <c r="AF13" s="25">
        <v>126</v>
      </c>
    </row>
    <row r="14" spans="1:32" ht="15">
      <c r="A14" s="30">
        <v>12</v>
      </c>
      <c r="B14" s="30">
        <v>23</v>
      </c>
      <c r="C14" s="30" t="str">
        <f>IF(ISBLANK(B14),"",VLOOKUP(B14,Entries!$A$4:$C$70,2,FALSE))</f>
        <v>A</v>
      </c>
      <c r="D14" s="31" t="str">
        <f>IF(ISBLANK(B14),"",VLOOKUP(B14,Entries!$A$4:$C$70,3,FALSE))</f>
        <v>Springfield Striders Men A</v>
      </c>
      <c r="E14" s="30">
        <f t="shared" si="0"/>
        <v>12</v>
      </c>
      <c r="F14" s="30">
        <f>IF(ISBLANK(B14),"",VLOOKUP(B14,Overall!$B$4:$AR$75,33,FALSE))</f>
        <v>27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10</v>
      </c>
      <c r="J14" s="31" t="s">
        <v>136</v>
      </c>
      <c r="K14" s="30">
        <v>141</v>
      </c>
      <c r="AA14" s="25">
        <v>1</v>
      </c>
      <c r="AB14" s="25">
        <v>10</v>
      </c>
      <c r="AC14" s="25" t="s">
        <v>3</v>
      </c>
      <c r="AD14" s="24" t="s">
        <v>136</v>
      </c>
      <c r="AE14" s="25">
        <v>1</v>
      </c>
      <c r="AF14" s="25">
        <v>141</v>
      </c>
    </row>
    <row r="15" spans="1:32" ht="15">
      <c r="A15" s="30">
        <v>13</v>
      </c>
      <c r="B15" s="30">
        <v>12</v>
      </c>
      <c r="C15" s="30" t="str">
        <f>IF(ISBLANK(B15),"",VLOOKUP(B15,Entries!$A$4:$C$70,2,FALSE))</f>
        <v>V</v>
      </c>
      <c r="D15" s="31" t="str">
        <f>IF(ISBLANK(B15),"",VLOOKUP(B15,Entries!$A$4:$C$70,3,FALSE))</f>
        <v>Mid Essex Casuals A</v>
      </c>
      <c r="E15" s="30">
        <f t="shared" si="0"/>
        <v>13</v>
      </c>
      <c r="F15" s="30">
        <f>IF(ISBLANK(B15),"",VLOOKUP(B15,Overall!$B$4:$AR$75,33,FALSE))</f>
        <v>244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7</v>
      </c>
      <c r="J15" s="31" t="s">
        <v>129</v>
      </c>
      <c r="K15" s="30">
        <v>157</v>
      </c>
      <c r="AA15" s="25">
        <v>11</v>
      </c>
      <c r="AB15" s="25">
        <v>7</v>
      </c>
      <c r="AC15" s="25" t="s">
        <v>3</v>
      </c>
      <c r="AD15" s="24" t="s">
        <v>129</v>
      </c>
      <c r="AE15" s="25">
        <v>11</v>
      </c>
      <c r="AF15" s="25">
        <v>157</v>
      </c>
    </row>
    <row r="16" spans="1:32" ht="15">
      <c r="A16" s="30">
        <v>14</v>
      </c>
      <c r="B16" s="30">
        <v>25</v>
      </c>
      <c r="C16" s="30" t="str">
        <f>IF(ISBLANK(B16),"",VLOOKUP(B16,Entries!$A$4:$C$70,2,FALSE))</f>
        <v>A</v>
      </c>
      <c r="D16" s="31" t="str">
        <f>IF(ISBLANK(B16),"",VLOOKUP(B16,Entries!$A$4:$C$70,3,FALSE))</f>
        <v>Southend Men B</v>
      </c>
      <c r="E16" s="30">
        <f t="shared" si="0"/>
        <v>14</v>
      </c>
      <c r="F16" s="30">
        <f>IF(ISBLANK(B16),"",VLOOKUP(B16,Overall!$B$4:$AR$75,33,FALSE))</f>
        <v>173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36</v>
      </c>
      <c r="J16" s="31" t="s">
        <v>102</v>
      </c>
      <c r="K16" s="30">
        <v>165</v>
      </c>
      <c r="AA16" s="25">
        <v>46</v>
      </c>
      <c r="AB16" s="25">
        <v>36</v>
      </c>
      <c r="AC16" s="25" t="s">
        <v>3</v>
      </c>
      <c r="AD16" s="24" t="s">
        <v>102</v>
      </c>
      <c r="AE16" s="25">
        <v>46</v>
      </c>
      <c r="AF16" s="25">
        <v>165</v>
      </c>
    </row>
    <row r="17" spans="1:32" ht="15">
      <c r="A17" s="30">
        <v>15</v>
      </c>
      <c r="B17" s="30">
        <v>32</v>
      </c>
      <c r="C17" s="30" t="str">
        <f>IF(ISBLANK(B17),"",VLOOKUP(B17,Entries!$A$4:$C$70,2,FALSE))</f>
        <v>A</v>
      </c>
      <c r="D17" s="31" t="str">
        <f>IF(ISBLANK(B17),"",VLOOKUP(B17,Entries!$A$4:$C$70,3,FALSE))</f>
        <v>Grange Farm A</v>
      </c>
      <c r="E17" s="30">
        <f t="shared" si="0"/>
        <v>15</v>
      </c>
      <c r="F17" s="30">
        <f>IF(ISBLANK(B17),"",VLOOKUP(B17,Overall!$B$4:$AR$75,33,FALSE))</f>
        <v>80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25</v>
      </c>
      <c r="J17" s="31" t="s">
        <v>160</v>
      </c>
      <c r="K17" s="30">
        <v>173</v>
      </c>
      <c r="AA17" s="25">
        <v>14</v>
      </c>
      <c r="AB17" s="25">
        <v>25</v>
      </c>
      <c r="AC17" s="25" t="s">
        <v>3</v>
      </c>
      <c r="AD17" s="24" t="s">
        <v>160</v>
      </c>
      <c r="AE17" s="25">
        <v>14</v>
      </c>
      <c r="AF17" s="25">
        <v>173</v>
      </c>
    </row>
    <row r="18" spans="1:32" ht="15">
      <c r="A18" s="30">
        <v>16</v>
      </c>
      <c r="B18" s="30">
        <v>8</v>
      </c>
      <c r="C18" s="30" t="str">
        <f>IF(ISBLANK(B18),"",VLOOKUP(B18,Entries!$A$4:$C$70,2,FALSE))</f>
        <v>A</v>
      </c>
      <c r="D18" s="31" t="str">
        <f>IF(ISBLANK(B18),"",VLOOKUP(B18,Entries!$A$4:$C$70,3,FALSE))</f>
        <v>East Essex Tri Men</v>
      </c>
      <c r="E18" s="30">
        <f t="shared" si="0"/>
        <v>16</v>
      </c>
      <c r="F18" s="30">
        <f>IF(ISBLANK(B18),"",VLOOKUP(B18,Overall!$B$4:$AR$75,33,FALSE))</f>
        <v>295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13</v>
      </c>
      <c r="J18" s="31" t="s">
        <v>85</v>
      </c>
      <c r="K18" s="30">
        <v>191</v>
      </c>
      <c r="AA18" s="25">
        <v>9</v>
      </c>
      <c r="AB18" s="25">
        <v>13</v>
      </c>
      <c r="AC18" s="25" t="s">
        <v>3</v>
      </c>
      <c r="AD18" s="24" t="s">
        <v>85</v>
      </c>
      <c r="AE18" s="25">
        <v>9</v>
      </c>
      <c r="AF18" s="25">
        <v>191</v>
      </c>
    </row>
    <row r="19" spans="1:32" ht="15">
      <c r="A19" s="30">
        <v>17</v>
      </c>
      <c r="B19" s="30">
        <v>50</v>
      </c>
      <c r="C19" s="30" t="str">
        <f>IF(ISBLANK(B19),"",VLOOKUP(B19,Entries!$A$4:$C$70,2,FALSE))</f>
        <v>V</v>
      </c>
      <c r="D19" s="31" t="str">
        <f>IF(ISBLANK(B19),"",VLOOKUP(B19,Entries!$A$4:$C$70,3,FALSE))</f>
        <v>Harwich Runners Vets</v>
      </c>
      <c r="E19" s="30">
        <f t="shared" si="0"/>
        <v>17</v>
      </c>
      <c r="F19" s="30">
        <f>IF(ISBLANK(B19),"",VLOOKUP(B19,Overall!$B$4:$AR$75,33,FALSE))</f>
        <v>120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33</v>
      </c>
      <c r="J19" s="31" t="s">
        <v>166</v>
      </c>
      <c r="K19" s="30">
        <v>215</v>
      </c>
      <c r="AA19" s="25">
        <v>31</v>
      </c>
      <c r="AB19" s="25">
        <v>33</v>
      </c>
      <c r="AC19" s="25" t="s">
        <v>3</v>
      </c>
      <c r="AD19" s="24" t="s">
        <v>166</v>
      </c>
      <c r="AE19" s="25">
        <v>31</v>
      </c>
      <c r="AF19" s="25">
        <v>215</v>
      </c>
    </row>
    <row r="20" spans="1:32" ht="15">
      <c r="A20" s="30">
        <v>18</v>
      </c>
      <c r="B20" s="30">
        <v>31</v>
      </c>
      <c r="C20" s="30" t="str">
        <f>IF(ISBLANK(B20),"",VLOOKUP(B20,Entries!$A$4:$C$70,2,FALSE))</f>
        <v>A</v>
      </c>
      <c r="D20" s="31" t="str">
        <f>IF(ISBLANK(B20),"",VLOOKUP(B20,Entries!$A$4:$C$70,3,FALSE))</f>
        <v>Springfield Striders Men B</v>
      </c>
      <c r="E20" s="30">
        <f t="shared" si="0"/>
        <v>18</v>
      </c>
      <c r="F20" s="30">
        <f>IF(ISBLANK(B20),"",VLOOKUP(B20,Overall!$B$4:$AR$75,33,FALSE))</f>
        <v>62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1</v>
      </c>
      <c r="J20" s="31" t="s">
        <v>117</v>
      </c>
      <c r="K20" s="30">
        <v>233</v>
      </c>
      <c r="AA20" s="25">
        <v>10</v>
      </c>
      <c r="AB20" s="25">
        <v>1</v>
      </c>
      <c r="AC20" s="25" t="s">
        <v>3</v>
      </c>
      <c r="AD20" s="24" t="s">
        <v>117</v>
      </c>
      <c r="AE20" s="25">
        <v>10</v>
      </c>
      <c r="AF20" s="25">
        <v>233</v>
      </c>
    </row>
    <row r="21" spans="1:32" ht="15">
      <c r="A21" s="30">
        <v>19</v>
      </c>
      <c r="B21" s="30">
        <v>18</v>
      </c>
      <c r="C21" s="30" t="str">
        <f>IF(ISBLANK(B21),"",VLOOKUP(B21,Entries!$A$4:$C$70,2,FALSE))</f>
        <v>A</v>
      </c>
      <c r="D21" s="31" t="str">
        <f>IF(ISBLANK(B21),"",VLOOKUP(B21,Entries!$A$4:$C$70,3,FALSE))</f>
        <v>Benfleet Men B</v>
      </c>
      <c r="E21" s="30">
        <f t="shared" si="0"/>
        <v>19</v>
      </c>
      <c r="F21" s="30">
        <f>IF(ISBLANK(B21),"",VLOOKUP(B21,Overall!$B$4:$AR$75,33,FALSE))</f>
        <v>103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37</v>
      </c>
      <c r="J21" s="31" t="s">
        <v>103</v>
      </c>
      <c r="K21" s="30">
        <v>234</v>
      </c>
      <c r="AA21" s="25">
        <v>44</v>
      </c>
      <c r="AB21" s="25">
        <v>37</v>
      </c>
      <c r="AC21" s="25" t="s">
        <v>3</v>
      </c>
      <c r="AD21" s="24" t="s">
        <v>103</v>
      </c>
      <c r="AE21" s="25">
        <v>44</v>
      </c>
      <c r="AF21" s="25">
        <v>234</v>
      </c>
    </row>
    <row r="22" spans="1:32" ht="15">
      <c r="A22" s="30">
        <v>20</v>
      </c>
      <c r="B22" s="30">
        <v>5</v>
      </c>
      <c r="C22" s="30" t="str">
        <f>IF(ISBLANK(B22),"",VLOOKUP(B22,Entries!$A$4:$C$70,2,FALSE))</f>
        <v>A</v>
      </c>
      <c r="D22" s="31" t="str">
        <f>IF(ISBLANK(B22),"",VLOOKUP(B22,Entries!$A$4:$C$70,3,FALSE))</f>
        <v>Tiptree Men</v>
      </c>
      <c r="E22" s="30">
        <f t="shared" si="0"/>
        <v>20</v>
      </c>
      <c r="F22" s="30">
        <f>IF(ISBLANK(B22),"",VLOOKUP(B22,Overall!$B$4:$AR$75,33,FALSE))</f>
        <v>104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29</v>
      </c>
      <c r="J22" s="31" t="s">
        <v>92</v>
      </c>
      <c r="K22" s="30">
        <v>240</v>
      </c>
      <c r="AA22" s="25">
        <v>7</v>
      </c>
      <c r="AB22" s="25">
        <v>29</v>
      </c>
      <c r="AC22" s="25" t="s">
        <v>3</v>
      </c>
      <c r="AD22" s="24" t="s">
        <v>92</v>
      </c>
      <c r="AE22" s="25">
        <v>7</v>
      </c>
      <c r="AF22" s="25">
        <v>240</v>
      </c>
    </row>
    <row r="23" spans="1:32" ht="15">
      <c r="A23" s="30">
        <v>21</v>
      </c>
      <c r="B23" s="30">
        <v>27</v>
      </c>
      <c r="C23" s="30" t="str">
        <f>IF(ISBLANK(B23),"",VLOOKUP(B23,Entries!$A$4:$C$70,2,FALSE))</f>
        <v>A</v>
      </c>
      <c r="D23" s="31" t="str">
        <f>IF(ISBLANK(B23),"",VLOOKUP(B23,Entries!$A$4:$C$70,3,FALSE))</f>
        <v>Harwich Runners Mixed</v>
      </c>
      <c r="E23" s="30">
        <f t="shared" si="0"/>
        <v>21</v>
      </c>
      <c r="F23" s="30">
        <f>IF(ISBLANK(B23),"",VLOOKUP(B23,Overall!$B$4:$AR$75,33,FALSE))</f>
        <v>347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19</v>
      </c>
      <c r="J23" s="31" t="s">
        <v>110</v>
      </c>
      <c r="K23" s="30">
        <v>243</v>
      </c>
      <c r="AA23" s="25">
        <v>41</v>
      </c>
      <c r="AB23" s="25">
        <v>19</v>
      </c>
      <c r="AC23" s="25" t="s">
        <v>3</v>
      </c>
      <c r="AD23" s="24" t="s">
        <v>110</v>
      </c>
      <c r="AE23" s="25">
        <v>41</v>
      </c>
      <c r="AF23" s="25">
        <v>243</v>
      </c>
    </row>
    <row r="24" spans="1:32" ht="15">
      <c r="A24" s="30">
        <v>22</v>
      </c>
      <c r="B24" s="30">
        <v>64</v>
      </c>
      <c r="C24" s="30" t="str">
        <f>IF(ISBLANK(B24),"",VLOOKUP(B24,Entries!$A$4:$C$70,2,FALSE))</f>
        <v>L</v>
      </c>
      <c r="D24" s="31" t="str">
        <f>IF(ISBLANK(B24),"",VLOOKUP(B24,Entries!$A$4:$C$70,3,FALSE))</f>
        <v>Benfleet Ladies A</v>
      </c>
      <c r="E24" s="30">
        <f t="shared" si="0"/>
        <v>22</v>
      </c>
      <c r="F24" s="30">
        <f>IF(ISBLANK(B24),"",VLOOKUP(B24,Overall!$B$4:$AR$75,33,FALSE))</f>
        <v>136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6</v>
      </c>
      <c r="J24" s="31" t="s">
        <v>127</v>
      </c>
      <c r="K24" s="30">
        <v>277</v>
      </c>
      <c r="AA24" s="25">
        <v>39</v>
      </c>
      <c r="AB24" s="25">
        <v>6</v>
      </c>
      <c r="AC24" s="25" t="s">
        <v>3</v>
      </c>
      <c r="AD24" s="24" t="s">
        <v>127</v>
      </c>
      <c r="AE24" s="25">
        <v>39</v>
      </c>
      <c r="AF24" s="25">
        <v>277</v>
      </c>
    </row>
    <row r="25" spans="1:32" ht="15">
      <c r="A25" s="30">
        <v>23</v>
      </c>
      <c r="B25" s="30">
        <v>69</v>
      </c>
      <c r="C25" s="30" t="str">
        <f>IF(ISBLANK(B25),"",VLOOKUP(B25,Entries!$A$4:$C$70,2,FALSE))</f>
        <v>L</v>
      </c>
      <c r="D25" s="31" t="str">
        <f>IF(ISBLANK(B25),"",VLOOKUP(B25,Entries!$A$4:$C$70,3,FALSE))</f>
        <v>Southend Ladies</v>
      </c>
      <c r="E25" s="30">
        <f t="shared" si="0"/>
        <v>23</v>
      </c>
      <c r="F25" s="30">
        <f>IF(ISBLANK(B25),"",VLOOKUP(B25,Overall!$B$4:$AR$75,33,FALSE))</f>
        <v>221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2</v>
      </c>
      <c r="J25" s="31" t="s">
        <v>98</v>
      </c>
      <c r="K25" s="30">
        <v>278</v>
      </c>
      <c r="AA25" s="25">
        <v>37</v>
      </c>
      <c r="AB25" s="25">
        <v>2</v>
      </c>
      <c r="AC25" s="25" t="s">
        <v>3</v>
      </c>
      <c r="AD25" s="24" t="s">
        <v>98</v>
      </c>
      <c r="AE25" s="25">
        <v>37</v>
      </c>
      <c r="AF25" s="25">
        <v>278</v>
      </c>
    </row>
    <row r="26" spans="1:32" ht="15">
      <c r="A26" s="30">
        <v>24</v>
      </c>
      <c r="B26" s="30">
        <v>14</v>
      </c>
      <c r="C26" s="30" t="str">
        <f>IF(ISBLANK(B26),"",VLOOKUP(B26,Entries!$A$4:$C$70,2,FALSE))</f>
        <v>A</v>
      </c>
      <c r="D26" s="31" t="str">
        <f>IF(ISBLANK(B26),"",VLOOKUP(B26,Entries!$A$4:$C$70,3,FALSE))</f>
        <v>Mid Essex Casuals C</v>
      </c>
      <c r="E26" s="30">
        <f t="shared" si="0"/>
        <v>24</v>
      </c>
      <c r="F26" s="30">
        <f>IF(ISBLANK(B26),"",VLOOKUP(B26,Overall!$B$4:$AR$75,33,FALSE))</f>
        <v>285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40</v>
      </c>
      <c r="J26" s="31" t="s">
        <v>173</v>
      </c>
      <c r="K26" s="30">
        <v>283</v>
      </c>
      <c r="AA26" s="25">
        <v>29</v>
      </c>
      <c r="AB26" s="25">
        <v>40</v>
      </c>
      <c r="AC26" s="25" t="s">
        <v>3</v>
      </c>
      <c r="AD26" s="24" t="s">
        <v>173</v>
      </c>
      <c r="AE26" s="25">
        <v>29</v>
      </c>
      <c r="AF26" s="25">
        <v>283</v>
      </c>
    </row>
    <row r="27" spans="1:32" ht="15">
      <c r="A27" s="30">
        <v>25</v>
      </c>
      <c r="B27" s="30">
        <v>53</v>
      </c>
      <c r="C27" s="30" t="str">
        <f>IF(ISBLANK(B27),"",VLOOKUP(B27,Entries!$A$4:$C$70,2,FALSE))</f>
        <v>V</v>
      </c>
      <c r="D27" s="31" t="str">
        <f>IF(ISBLANK(B27),"",VLOOKUP(B27,Entries!$A$4:$C$70,3,FALSE))</f>
        <v>Springfield Striders Vets</v>
      </c>
      <c r="E27" s="30">
        <f t="shared" si="0"/>
        <v>25</v>
      </c>
      <c r="F27" s="30">
        <f>IF(ISBLANK(B27),"",VLOOKUP(B27,Overall!$B$4:$AR$75,33,FALSE))</f>
        <v>145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14</v>
      </c>
      <c r="J27" s="31" t="s">
        <v>141</v>
      </c>
      <c r="K27" s="30">
        <v>285</v>
      </c>
      <c r="AA27" s="25">
        <v>24</v>
      </c>
      <c r="AB27" s="25">
        <v>14</v>
      </c>
      <c r="AC27" s="25" t="s">
        <v>3</v>
      </c>
      <c r="AD27" s="24" t="s">
        <v>141</v>
      </c>
      <c r="AE27" s="25">
        <v>24</v>
      </c>
      <c r="AF27" s="25">
        <v>285</v>
      </c>
    </row>
    <row r="28" spans="1:32" ht="15">
      <c r="A28" s="30">
        <v>26</v>
      </c>
      <c r="B28" s="30">
        <v>51</v>
      </c>
      <c r="C28" s="30" t="str">
        <f>IF(ISBLANK(B28),"",VLOOKUP(B28,Entries!$A$4:$C$70,2,FALSE))</f>
        <v>V</v>
      </c>
      <c r="D28" s="31" t="str">
        <f>IF(ISBLANK(B28),"",VLOOKUP(B28,Entries!$A$4:$C$70,3,FALSE))</f>
        <v>Ilford Vets</v>
      </c>
      <c r="E28" s="30">
        <f t="shared" si="0"/>
        <v>26</v>
      </c>
      <c r="F28" s="30">
        <f>IF(ISBLANK(B28),"",VLOOKUP(B28,Overall!$B$4:$AR$75,33,FALSE))</f>
        <v>224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22</v>
      </c>
      <c r="J28" s="31" t="s">
        <v>152</v>
      </c>
      <c r="K28" s="30">
        <v>292</v>
      </c>
      <c r="AA28" s="25">
        <v>36</v>
      </c>
      <c r="AB28" s="25">
        <v>22</v>
      </c>
      <c r="AC28" s="25" t="s">
        <v>3</v>
      </c>
      <c r="AD28" s="24" t="s">
        <v>152</v>
      </c>
      <c r="AE28" s="25">
        <v>36</v>
      </c>
      <c r="AF28" s="25">
        <v>292</v>
      </c>
    </row>
    <row r="29" spans="1:32" ht="15">
      <c r="A29" s="30">
        <v>27</v>
      </c>
      <c r="B29" s="30">
        <v>35</v>
      </c>
      <c r="C29" s="30" t="str">
        <f>IF(ISBLANK(B29),"",VLOOKUP(B29,Entries!$A$4:$C$70,2,FALSE))</f>
        <v>A</v>
      </c>
      <c r="D29" s="31" t="str">
        <f>IF(ISBLANK(B29),"",VLOOKUP(B29,Entries!$A$4:$C$70,3,FALSE))</f>
        <v>Leigh on Sea Towels by Poolside</v>
      </c>
      <c r="E29" s="30">
        <f t="shared" si="0"/>
        <v>27</v>
      </c>
      <c r="F29" s="30">
        <f>IF(ISBLANK(B29),"",VLOOKUP(B29,Overall!$B$4:$AR$75,33,FALSE))</f>
        <v>354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34</v>
      </c>
      <c r="J29" s="31" t="s">
        <v>167</v>
      </c>
      <c r="K29" s="30">
        <v>294</v>
      </c>
      <c r="AA29" s="25">
        <v>32</v>
      </c>
      <c r="AB29" s="25">
        <v>34</v>
      </c>
      <c r="AC29" s="25" t="s">
        <v>3</v>
      </c>
      <c r="AD29" s="24" t="s">
        <v>167</v>
      </c>
      <c r="AE29" s="25">
        <v>32</v>
      </c>
      <c r="AF29" s="25">
        <v>294</v>
      </c>
    </row>
    <row r="30" spans="1:32" ht="15">
      <c r="A30" s="30">
        <v>28</v>
      </c>
      <c r="B30" s="30">
        <v>66</v>
      </c>
      <c r="C30" s="30" t="str">
        <f>IF(ISBLANK(B30),"",VLOOKUP(B30,Entries!$A$4:$C$70,2,FALSE))</f>
        <v>L</v>
      </c>
      <c r="D30" s="31" t="str">
        <f>IF(ISBLANK(B30),"",VLOOKUP(B30,Entries!$A$4:$C$70,3,FALSE))</f>
        <v>TGT Ladies A</v>
      </c>
      <c r="E30" s="30">
        <f t="shared" si="0"/>
        <v>28</v>
      </c>
      <c r="F30" s="30">
        <f>IF(ISBLANK(B30),"",VLOOKUP(B30,Overall!$B$4:$AR$75,33,FALSE))</f>
        <v>281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8</v>
      </c>
      <c r="J30" s="31" t="s">
        <v>132</v>
      </c>
      <c r="K30" s="30">
        <v>295</v>
      </c>
      <c r="AA30" s="25">
        <v>16</v>
      </c>
      <c r="AB30" s="25">
        <v>8</v>
      </c>
      <c r="AC30" s="25" t="s">
        <v>3</v>
      </c>
      <c r="AD30" s="24" t="s">
        <v>132</v>
      </c>
      <c r="AE30" s="25">
        <v>16</v>
      </c>
      <c r="AF30" s="25">
        <v>295</v>
      </c>
    </row>
    <row r="31" spans="1:32" ht="15">
      <c r="A31" s="30">
        <v>29</v>
      </c>
      <c r="B31" s="30">
        <v>40</v>
      </c>
      <c r="C31" s="30" t="str">
        <f>IF(ISBLANK(B31),"",VLOOKUP(B31,Entries!$A$4:$C$70,2,FALSE))</f>
        <v>A</v>
      </c>
      <c r="D31" s="31" t="str">
        <f>IF(ISBLANK(B31),"",VLOOKUP(B31,Entries!$A$4:$C$70,3,FALSE))</f>
        <v>Pitsea RC Men </v>
      </c>
      <c r="E31" s="30">
        <f t="shared" si="0"/>
        <v>29</v>
      </c>
      <c r="F31" s="30">
        <f>IF(ISBLANK(B31),"",VLOOKUP(B31,Overall!$B$4:$AR$75,33,FALSE))</f>
        <v>283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30</v>
      </c>
      <c r="J31" s="31" t="s">
        <v>100</v>
      </c>
      <c r="K31" s="30">
        <v>335</v>
      </c>
      <c r="AA31" s="25">
        <v>48</v>
      </c>
      <c r="AB31" s="25">
        <v>30</v>
      </c>
      <c r="AC31" s="25" t="s">
        <v>3</v>
      </c>
      <c r="AD31" s="24" t="s">
        <v>100</v>
      </c>
      <c r="AE31" s="25">
        <v>48</v>
      </c>
      <c r="AF31" s="25">
        <v>335</v>
      </c>
    </row>
    <row r="32" spans="1:32" ht="15">
      <c r="A32" s="30">
        <v>30</v>
      </c>
      <c r="B32" s="30">
        <v>15</v>
      </c>
      <c r="C32" s="30" t="str">
        <f>IF(ISBLANK(B32),"",VLOOKUP(B32,Entries!$A$4:$C$70,2,FALSE))</f>
        <v>A</v>
      </c>
      <c r="D32" s="31" t="str">
        <f>IF(ISBLANK(B32),"",VLOOKUP(B32,Entries!$A$4:$C$70,3,FALSE))</f>
        <v>Havering 90 A</v>
      </c>
      <c r="E32" s="30">
        <f t="shared" si="0"/>
        <v>30</v>
      </c>
      <c r="F32" s="30">
        <f>IF(ISBLANK(B32),"",VLOOKUP(B32,Overall!$B$4:$AR$75,33,FALSE))</f>
        <v>396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20</v>
      </c>
      <c r="J32" s="31" t="s">
        <v>145</v>
      </c>
      <c r="K32" s="30">
        <v>345</v>
      </c>
      <c r="AA32" s="25">
        <v>47</v>
      </c>
      <c r="AB32" s="25">
        <v>20</v>
      </c>
      <c r="AC32" s="25" t="s">
        <v>3</v>
      </c>
      <c r="AD32" s="24" t="s">
        <v>145</v>
      </c>
      <c r="AE32" s="25">
        <v>47</v>
      </c>
      <c r="AF32" s="25">
        <v>345</v>
      </c>
    </row>
    <row r="33" spans="1:32" ht="15">
      <c r="A33" s="30">
        <v>31</v>
      </c>
      <c r="B33" s="30">
        <v>33</v>
      </c>
      <c r="C33" s="30" t="str">
        <f>IF(ISBLANK(B33),"",VLOOKUP(B33,Entries!$A$4:$C$70,2,FALSE))</f>
        <v>A</v>
      </c>
      <c r="D33" s="31" t="str">
        <f>IF(ISBLANK(B33),"",VLOOKUP(B33,Entries!$A$4:$C$70,3,FALSE))</f>
        <v>Grange Farm B</v>
      </c>
      <c r="E33" s="30">
        <f aca="true" t="shared" si="1" ref="E33:E55">IF(ISBLANK(B33),"",A33)</f>
        <v>31</v>
      </c>
      <c r="F33" s="30">
        <f>IF(ISBLANK(B33),"",VLOOKUP(B33,Overall!$B$4:$AR$75,33,FALSE))</f>
        <v>215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3</v>
      </c>
      <c r="J33" s="31" t="s">
        <v>120</v>
      </c>
      <c r="K33" s="30">
        <v>346</v>
      </c>
      <c r="AA33" s="25">
        <v>54</v>
      </c>
      <c r="AB33" s="25">
        <v>3</v>
      </c>
      <c r="AC33" s="25" t="s">
        <v>3</v>
      </c>
      <c r="AD33" s="24" t="s">
        <v>120</v>
      </c>
      <c r="AE33" s="25">
        <v>54</v>
      </c>
      <c r="AF33" s="25">
        <v>346</v>
      </c>
    </row>
    <row r="34" spans="1:32" ht="15">
      <c r="A34" s="30">
        <v>32</v>
      </c>
      <c r="B34" s="30">
        <v>34</v>
      </c>
      <c r="C34" s="30" t="str">
        <f>IF(ISBLANK(B34),"",VLOOKUP(B34,Entries!$A$4:$C$70,2,FALSE))</f>
        <v>A</v>
      </c>
      <c r="D34" s="31" t="str">
        <f>IF(ISBLANK(B34),"",VLOOKUP(B34,Entries!$A$4:$C$70,3,FALSE))</f>
        <v>Grange Farm C</v>
      </c>
      <c r="E34" s="30">
        <f t="shared" si="1"/>
        <v>32</v>
      </c>
      <c r="F34" s="30">
        <f>IF(ISBLANK(B34),"",VLOOKUP(B34,Overall!$B$4:$AR$75,33,FALSE))</f>
        <v>294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27</v>
      </c>
      <c r="J34" s="31" t="s">
        <v>97</v>
      </c>
      <c r="K34" s="30">
        <v>347</v>
      </c>
      <c r="AA34" s="25">
        <v>21</v>
      </c>
      <c r="AB34" s="25">
        <v>27</v>
      </c>
      <c r="AC34" s="25" t="s">
        <v>3</v>
      </c>
      <c r="AD34" s="24" t="s">
        <v>97</v>
      </c>
      <c r="AE34" s="25">
        <v>21</v>
      </c>
      <c r="AF34" s="25">
        <v>347</v>
      </c>
    </row>
    <row r="35" spans="1:32" ht="15">
      <c r="A35" s="30">
        <v>33</v>
      </c>
      <c r="B35" s="30">
        <v>70</v>
      </c>
      <c r="C35" s="30" t="str">
        <f>IF(ISBLANK(B35),"",VLOOKUP(B35,Entries!$A$4:$C$70,2,FALSE))</f>
        <v>L</v>
      </c>
      <c r="D35" s="31" t="str">
        <f>IF(ISBLANK(B35),"",VLOOKUP(B35,Entries!$A$4:$C$70,3,FALSE))</f>
        <v>Harwich Runners Ladies</v>
      </c>
      <c r="E35" s="30">
        <f t="shared" si="1"/>
        <v>33</v>
      </c>
      <c r="F35" s="30">
        <f>IF(ISBLANK(B35),"",VLOOKUP(B35,Overall!$B$4:$AR$75,33,FALSE))</f>
        <v>306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35</v>
      </c>
      <c r="J35" s="31" t="s">
        <v>168</v>
      </c>
      <c r="K35" s="30">
        <v>354</v>
      </c>
      <c r="AA35" s="25">
        <v>27</v>
      </c>
      <c r="AB35" s="25">
        <v>35</v>
      </c>
      <c r="AC35" s="25" t="s">
        <v>3</v>
      </c>
      <c r="AD35" s="24" t="s">
        <v>168</v>
      </c>
      <c r="AE35" s="25">
        <v>27</v>
      </c>
      <c r="AF35" s="25">
        <v>354</v>
      </c>
    </row>
    <row r="36" spans="1:32" ht="15">
      <c r="A36" s="30">
        <v>34</v>
      </c>
      <c r="B36" s="30">
        <v>52</v>
      </c>
      <c r="C36" s="30" t="str">
        <f>IF(ISBLANK(B36),"",VLOOKUP(B36,Entries!$A$4:$C$70,2,FALSE))</f>
        <v>V</v>
      </c>
      <c r="D36" s="31" t="str">
        <f>IF(ISBLANK(B36),"",VLOOKUP(B36,Entries!$A$4:$C$70,3,FALSE))</f>
        <v>TGT Vets</v>
      </c>
      <c r="E36" s="30">
        <f t="shared" si="1"/>
        <v>34</v>
      </c>
      <c r="F36" s="30">
        <f>IF(ISBLANK(B36),"",VLOOKUP(B36,Overall!$B$4:$AR$75,33,FALSE))</f>
        <v>316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16</v>
      </c>
      <c r="J36" s="31" t="s">
        <v>143</v>
      </c>
      <c r="K36" s="30">
        <v>370</v>
      </c>
      <c r="AA36" s="25">
        <v>49</v>
      </c>
      <c r="AB36" s="25">
        <v>16</v>
      </c>
      <c r="AC36" s="25" t="s">
        <v>3</v>
      </c>
      <c r="AD36" s="24" t="s">
        <v>143</v>
      </c>
      <c r="AE36" s="25">
        <v>49</v>
      </c>
      <c r="AF36" s="25">
        <v>370</v>
      </c>
    </row>
    <row r="37" spans="1:32" ht="15">
      <c r="A37" s="30">
        <v>35</v>
      </c>
      <c r="B37" s="30">
        <v>65</v>
      </c>
      <c r="C37" s="30" t="str">
        <f>IF(ISBLANK(B37),"",VLOOKUP(B37,Entries!$A$4:$C$70,2,FALSE))</f>
        <v>L</v>
      </c>
      <c r="D37" s="31" t="str">
        <f>IF(ISBLANK(B37),"",VLOOKUP(B37,Entries!$A$4:$C$70,3,FALSE))</f>
        <v>Benfleet Ladies B</v>
      </c>
      <c r="E37" s="30">
        <f t="shared" si="1"/>
        <v>35</v>
      </c>
      <c r="F37" s="30">
        <f>IF(ISBLANK(B37),"",VLOOKUP(B37,Overall!$B$4:$AR$75,33,FALSE))</f>
        <v>269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38</v>
      </c>
      <c r="J37" s="31" t="s">
        <v>104</v>
      </c>
      <c r="K37" s="30">
        <v>377</v>
      </c>
      <c r="AA37" s="25">
        <v>100</v>
      </c>
      <c r="AB37" s="25">
        <v>38</v>
      </c>
      <c r="AC37" s="25" t="s">
        <v>3</v>
      </c>
      <c r="AD37" s="24" t="s">
        <v>104</v>
      </c>
      <c r="AE37" s="25">
        <v>100</v>
      </c>
      <c r="AF37" s="25">
        <v>377</v>
      </c>
    </row>
    <row r="38" spans="1:32" ht="15">
      <c r="A38" s="30">
        <v>36</v>
      </c>
      <c r="B38" s="30">
        <v>22</v>
      </c>
      <c r="C38" s="30" t="str">
        <f>IF(ISBLANK(B38),"",VLOOKUP(B38,Entries!$A$4:$C$70,2,FALSE))</f>
        <v>A</v>
      </c>
      <c r="D38" s="31" t="str">
        <f>IF(ISBLANK(B38),"",VLOOKUP(B38,Entries!$A$4:$C$70,3,FALSE))</f>
        <v>TGT Men B</v>
      </c>
      <c r="E38" s="30">
        <f t="shared" si="1"/>
        <v>36</v>
      </c>
      <c r="F38" s="30">
        <f>IF(ISBLANK(B38),"",VLOOKUP(B38,Overall!$B$4:$AR$75,33,FALSE))</f>
        <v>292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15</v>
      </c>
      <c r="J38" s="31" t="s">
        <v>142</v>
      </c>
      <c r="K38" s="30">
        <v>396</v>
      </c>
      <c r="AA38" s="25">
        <v>30</v>
      </c>
      <c r="AB38" s="25">
        <v>15</v>
      </c>
      <c r="AC38" s="25" t="s">
        <v>3</v>
      </c>
      <c r="AD38" s="24" t="s">
        <v>142</v>
      </c>
      <c r="AE38" s="25">
        <v>30</v>
      </c>
      <c r="AF38" s="25">
        <v>396</v>
      </c>
    </row>
    <row r="39" spans="1:32" ht="15">
      <c r="A39" s="30">
        <v>37</v>
      </c>
      <c r="B39" s="30">
        <v>2</v>
      </c>
      <c r="C39" s="30" t="str">
        <f>IF(ISBLANK(B39),"",VLOOKUP(B39,Entries!$A$4:$C$70,2,FALSE))</f>
        <v>A</v>
      </c>
      <c r="D39" s="31" t="str">
        <f>IF(ISBLANK(B39),"",VLOOKUP(B39,Entries!$A$4:$C$70,3,FALSE))</f>
        <v>Thurrock Nomads A</v>
      </c>
      <c r="E39" s="30">
        <f t="shared" si="1"/>
        <v>37</v>
      </c>
      <c r="F39" s="30">
        <f>IF(ISBLANK(B39),"",VLOOKUP(B39,Overall!$B$4:$AR$75,33,FALSE))</f>
        <v>278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41</v>
      </c>
      <c r="J39" s="31" t="s">
        <v>176</v>
      </c>
      <c r="K39" s="30">
        <v>448</v>
      </c>
      <c r="AA39" s="25">
        <v>52</v>
      </c>
      <c r="AB39" s="25">
        <v>41</v>
      </c>
      <c r="AC39" s="25" t="s">
        <v>3</v>
      </c>
      <c r="AD39" s="24" t="s">
        <v>176</v>
      </c>
      <c r="AE39" s="25">
        <v>52</v>
      </c>
      <c r="AF39" s="25">
        <v>448</v>
      </c>
    </row>
    <row r="40" spans="1:32" ht="15">
      <c r="A40" s="30">
        <v>38</v>
      </c>
      <c r="B40" s="30">
        <v>59</v>
      </c>
      <c r="C40" s="30" t="str">
        <f>IF(ISBLANK(B40),"",VLOOKUP(B40,Entries!$A$4:$C$70,2,FALSE))</f>
        <v>L</v>
      </c>
      <c r="D40" s="31" t="str">
        <f>IF(ISBLANK(B40),"",VLOOKUP(B40,Entries!$A$4:$C$70,3,FALSE))</f>
        <v>Grange Farm Ladies</v>
      </c>
      <c r="E40" s="30">
        <f t="shared" si="1"/>
        <v>38</v>
      </c>
      <c r="F40" s="30">
        <f>IF(ISBLANK(B40),"",VLOOKUP(B40,Overall!$B$4:$AR$75,33,FALSE))</f>
        <v>251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11</v>
      </c>
      <c r="J40" s="31" t="s">
        <v>65</v>
      </c>
      <c r="K40" s="30">
        <v>493</v>
      </c>
      <c r="AA40" s="25">
        <v>51</v>
      </c>
      <c r="AB40" s="25">
        <v>11</v>
      </c>
      <c r="AC40" s="25" t="s">
        <v>3</v>
      </c>
      <c r="AD40" s="24" t="s">
        <v>65</v>
      </c>
      <c r="AE40" s="25">
        <v>51</v>
      </c>
      <c r="AF40" s="25">
        <v>493</v>
      </c>
    </row>
    <row r="41" spans="1:32" ht="15">
      <c r="A41" s="30">
        <v>39</v>
      </c>
      <c r="B41" s="30">
        <v>6</v>
      </c>
      <c r="C41" s="30" t="str">
        <f>IF(ISBLANK(B41),"",VLOOKUP(B41,Entries!$A$4:$C$70,2,FALSE))</f>
        <v>A</v>
      </c>
      <c r="D41" s="31" t="str">
        <f>IF(ISBLANK(B41),"",VLOOKUP(B41,Entries!$A$4:$C$70,3,FALSE))</f>
        <v>Thurrock Nomads B - The Z list</v>
      </c>
      <c r="E41" s="30">
        <f t="shared" si="1"/>
        <v>39</v>
      </c>
      <c r="F41" s="30">
        <f>IF(ISBLANK(B41),"",VLOOKUP(B41,Overall!$B$4:$AR$75,33,FALSE))</f>
        <v>277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4</v>
      </c>
      <c r="J41" s="31" t="s">
        <v>123</v>
      </c>
      <c r="K41" s="30">
        <v>580</v>
      </c>
      <c r="AA41" s="25">
        <v>55</v>
      </c>
      <c r="AB41" s="25">
        <v>4</v>
      </c>
      <c r="AC41" s="25" t="s">
        <v>3</v>
      </c>
      <c r="AD41" s="24" t="s">
        <v>123</v>
      </c>
      <c r="AE41" s="25">
        <v>55</v>
      </c>
      <c r="AF41" s="25">
        <v>580</v>
      </c>
    </row>
    <row r="42" spans="1:32" ht="15">
      <c r="A42" s="30">
        <v>40</v>
      </c>
      <c r="B42" s="30">
        <v>57</v>
      </c>
      <c r="C42" s="30" t="str">
        <f>IF(ISBLANK(B42),"",VLOOKUP(B42,Entries!$A$4:$C$70,2,FALSE))</f>
        <v>L</v>
      </c>
      <c r="D42" s="31" t="str">
        <f>IF(ISBLANK(B42),"",VLOOKUP(B42,Entries!$A$4:$C$70,3,FALSE))</f>
        <v>Springfield Striders Ladies A</v>
      </c>
      <c r="E42" s="30">
        <f t="shared" si="1"/>
        <v>40</v>
      </c>
      <c r="F42" s="30">
        <f>IF(ISBLANK(B42),"",VLOOKUP(B42,Overall!$B$4:$AR$75,33,FALSE))</f>
        <v>264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39</v>
      </c>
      <c r="J42" s="45" t="s">
        <v>105</v>
      </c>
      <c r="K42" s="44">
        <v>605</v>
      </c>
      <c r="AA42" s="25">
        <v>100</v>
      </c>
      <c r="AB42" s="25">
        <v>39</v>
      </c>
      <c r="AC42" s="25" t="s">
        <v>3</v>
      </c>
      <c r="AD42" s="24" t="s">
        <v>105</v>
      </c>
      <c r="AE42" s="25">
        <v>100</v>
      </c>
      <c r="AF42" s="25">
        <v>605</v>
      </c>
    </row>
    <row r="43" spans="1:32" ht="15">
      <c r="A43" s="30">
        <v>41</v>
      </c>
      <c r="B43" s="30">
        <v>19</v>
      </c>
      <c r="C43" s="30" t="str">
        <f>IF(ISBLANK(B43),"",VLOOKUP(B43,Entries!$A$4:$C$70,2,FALSE))</f>
        <v>A</v>
      </c>
      <c r="D43" s="31" t="str">
        <f>IF(ISBLANK(B43),"",VLOOKUP(B43,Entries!$A$4:$C$70,3,FALSE))</f>
        <v>Benfleet Men C</v>
      </c>
      <c r="E43" s="30">
        <f t="shared" si="1"/>
        <v>41</v>
      </c>
      <c r="F43" s="30">
        <f>IF(ISBLANK(B43),"",VLOOKUP(B43,Overall!$B$4:$AR$75,33,FALSE))</f>
        <v>243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22</v>
      </c>
      <c r="AB43" s="25">
        <v>64</v>
      </c>
      <c r="AC43" s="25" t="s">
        <v>0</v>
      </c>
      <c r="AD43" s="24" t="s">
        <v>191</v>
      </c>
      <c r="AE43" s="25">
        <v>22</v>
      </c>
      <c r="AF43" s="25">
        <v>136</v>
      </c>
    </row>
    <row r="44" spans="1:32" ht="15">
      <c r="A44" s="30">
        <v>42</v>
      </c>
      <c r="B44" s="30">
        <v>58</v>
      </c>
      <c r="C44" s="30" t="str">
        <f>IF(ISBLANK(B44),"",VLOOKUP(B44,Entries!$A$4:$C$70,2,FALSE))</f>
        <v>L</v>
      </c>
      <c r="D44" s="31" t="str">
        <f>IF(ISBLANK(B44),"",VLOOKUP(B44,Entries!$A$4:$C$70,3,FALSE))</f>
        <v>Springfield Striders Ladies B</v>
      </c>
      <c r="E44" s="30">
        <f t="shared" si="1"/>
        <v>42</v>
      </c>
      <c r="F44" s="30">
        <f>IF(ISBLANK(B44),"",VLOOKUP(B44,Overall!$B$4:$AR$75,33,FALSE))</f>
        <v>319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23</v>
      </c>
      <c r="AB44" s="25">
        <v>69</v>
      </c>
      <c r="AC44" s="25" t="s">
        <v>0</v>
      </c>
      <c r="AD44" s="24" t="s">
        <v>198</v>
      </c>
      <c r="AE44" s="25">
        <v>23</v>
      </c>
      <c r="AF44" s="25">
        <v>221</v>
      </c>
    </row>
    <row r="45" spans="1:32" ht="15">
      <c r="A45" s="30">
        <v>43</v>
      </c>
      <c r="B45" s="30">
        <v>62</v>
      </c>
      <c r="C45" s="30" t="str">
        <f>IF(ISBLANK(B45),"",VLOOKUP(B45,Entries!$A$4:$C$70,2,FALSE))</f>
        <v>L</v>
      </c>
      <c r="D45" s="31" t="str">
        <f>IF(ISBLANK(B45),"",VLOOKUP(B45,Entries!$A$4:$C$70,3,FALSE))</f>
        <v>Leigh on Sea - Weekend without Make up</v>
      </c>
      <c r="E45" s="30">
        <f t="shared" si="1"/>
        <v>43</v>
      </c>
      <c r="F45" s="30">
        <f>IF(ISBLANK(B45),"",VLOOKUP(B45,Overall!$B$4:$AR$75,33,FALSE))</f>
        <v>252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136</v>
      </c>
      <c r="AA45" s="25">
        <v>38</v>
      </c>
      <c r="AB45" s="25">
        <v>59</v>
      </c>
      <c r="AC45" s="25" t="s">
        <v>0</v>
      </c>
      <c r="AD45" s="24" t="s">
        <v>183</v>
      </c>
      <c r="AE45" s="25">
        <v>38</v>
      </c>
      <c r="AF45" s="25">
        <v>251</v>
      </c>
    </row>
    <row r="46" spans="1:32" ht="15">
      <c r="A46" s="30">
        <v>44</v>
      </c>
      <c r="B46" s="30">
        <v>37</v>
      </c>
      <c r="C46" s="30" t="str">
        <f>IF(ISBLANK(B46),"",VLOOKUP(B46,Entries!$A$4:$C$70,2,FALSE))</f>
        <v>A</v>
      </c>
      <c r="D46" s="31" t="str">
        <f>IF(ISBLANK(B46),"",VLOOKUP(B46,Entries!$A$4:$C$70,3,FALSE))</f>
        <v>Springfield Striders Mixed B</v>
      </c>
      <c r="E46" s="30">
        <f t="shared" si="1"/>
        <v>44</v>
      </c>
      <c r="F46" s="30">
        <f>IF(ISBLANK(B46),"",VLOOKUP(B46,Overall!$B$4:$AR$75,33,FALSE))</f>
        <v>234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69</v>
      </c>
      <c r="J46" s="31" t="s">
        <v>198</v>
      </c>
      <c r="K46" s="30">
        <v>221</v>
      </c>
      <c r="AA46" s="25">
        <v>43</v>
      </c>
      <c r="AB46" s="25">
        <v>62</v>
      </c>
      <c r="AC46" s="25" t="s">
        <v>0</v>
      </c>
      <c r="AD46" s="24" t="s">
        <v>188</v>
      </c>
      <c r="AE46" s="25">
        <v>43</v>
      </c>
      <c r="AF46" s="25">
        <v>252</v>
      </c>
    </row>
    <row r="47" spans="1:32" ht="15">
      <c r="A47" s="30">
        <v>45</v>
      </c>
      <c r="B47" s="30">
        <v>61</v>
      </c>
      <c r="C47" s="30" t="str">
        <f>IF(ISBLANK(B47),"",VLOOKUP(B47,Entries!$A$4:$C$70,2,FALSE))</f>
        <v>L</v>
      </c>
      <c r="D47" s="31" t="str">
        <f>IF(ISBLANK(B47),"",VLOOKUP(B47,Entries!$A$4:$C$70,3,FALSE))</f>
        <v>East Essex Tri Women</v>
      </c>
      <c r="E47" s="30">
        <f t="shared" si="1"/>
        <v>45</v>
      </c>
      <c r="F47" s="30">
        <f>IF(ISBLANK(B47),"",VLOOKUP(B47,Overall!$B$4:$AR$75,33,FALSE))</f>
        <v>298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59</v>
      </c>
      <c r="J47" s="31" t="s">
        <v>183</v>
      </c>
      <c r="K47" s="30">
        <v>251</v>
      </c>
      <c r="AA47" s="25">
        <v>40</v>
      </c>
      <c r="AB47" s="25">
        <v>57</v>
      </c>
      <c r="AC47" s="25" t="s">
        <v>0</v>
      </c>
      <c r="AD47" s="24" t="s">
        <v>181</v>
      </c>
      <c r="AE47" s="25">
        <v>40</v>
      </c>
      <c r="AF47" s="25">
        <v>264</v>
      </c>
    </row>
    <row r="48" spans="1:32" ht="15">
      <c r="A48" s="30">
        <v>46</v>
      </c>
      <c r="B48" s="30">
        <v>36</v>
      </c>
      <c r="C48" s="30" t="str">
        <f>IF(ISBLANK(B48),"",VLOOKUP(B48,Entries!$A$4:$C$70,2,FALSE))</f>
        <v>A</v>
      </c>
      <c r="D48" s="31" t="str">
        <f>IF(ISBLANK(B48),"",VLOOKUP(B48,Entries!$A$4:$C$70,3,FALSE))</f>
        <v>Springfield Striders Mixed A</v>
      </c>
      <c r="E48" s="30">
        <f t="shared" si="1"/>
        <v>46</v>
      </c>
      <c r="F48" s="30">
        <f>IF(ISBLANK(B48),"",VLOOKUP(B48,Overall!$B$4:$AR$75,33,FALSE))</f>
        <v>165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62</v>
      </c>
      <c r="J48" s="31" t="s">
        <v>188</v>
      </c>
      <c r="K48" s="30">
        <v>252</v>
      </c>
      <c r="AA48" s="25">
        <v>35</v>
      </c>
      <c r="AB48" s="25">
        <v>65</v>
      </c>
      <c r="AC48" s="25" t="s">
        <v>0</v>
      </c>
      <c r="AD48" s="24" t="s">
        <v>192</v>
      </c>
      <c r="AE48" s="25">
        <v>35</v>
      </c>
      <c r="AF48" s="25">
        <v>269</v>
      </c>
    </row>
    <row r="49" spans="1:32" ht="15">
      <c r="A49" s="30">
        <v>47</v>
      </c>
      <c r="B49" s="30">
        <v>20</v>
      </c>
      <c r="C49" s="30" t="str">
        <f>IF(ISBLANK(B49),"",VLOOKUP(B49,Entries!$A$4:$C$70,2,FALSE))</f>
        <v>A</v>
      </c>
      <c r="D49" s="31" t="str">
        <f>IF(ISBLANK(B49),"",VLOOKUP(B49,Entries!$A$4:$C$70,3,FALSE))</f>
        <v>BSRC</v>
      </c>
      <c r="E49" s="30">
        <f t="shared" si="1"/>
        <v>47</v>
      </c>
      <c r="F49" s="30">
        <f>IF(ISBLANK(B49),"",VLOOKUP(B49,Overall!$B$4:$AR$75,33,FALSE))</f>
        <v>345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57</v>
      </c>
      <c r="J49" s="31" t="s">
        <v>181</v>
      </c>
      <c r="K49" s="30">
        <v>264</v>
      </c>
      <c r="AA49" s="25">
        <v>28</v>
      </c>
      <c r="AB49" s="25">
        <v>66</v>
      </c>
      <c r="AC49" s="25" t="s">
        <v>0</v>
      </c>
      <c r="AD49" s="24" t="s">
        <v>193</v>
      </c>
      <c r="AE49" s="25">
        <v>28</v>
      </c>
      <c r="AF49" s="25">
        <v>281</v>
      </c>
    </row>
    <row r="50" spans="1:32" ht="15">
      <c r="A50" s="30">
        <v>48</v>
      </c>
      <c r="B50" s="30">
        <v>30</v>
      </c>
      <c r="C50" s="30" t="str">
        <f>IF(ISBLANK(B50),"",VLOOKUP(B50,Entries!$A$4:$C$70,2,FALSE))</f>
        <v>A</v>
      </c>
      <c r="D50" s="31" t="str">
        <f>IF(ISBLANK(B50),"",VLOOKUP(B50,Entries!$A$4:$C$70,3,FALSE))</f>
        <v>Witham Running Club</v>
      </c>
      <c r="E50" s="30">
        <f t="shared" si="1"/>
        <v>48</v>
      </c>
      <c r="F50" s="30">
        <f>IF(ISBLANK(B50),"",VLOOKUP(B50,Overall!$B$4:$AR$75,33,FALSE))</f>
        <v>335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65</v>
      </c>
      <c r="J50" s="31" t="s">
        <v>192</v>
      </c>
      <c r="K50" s="30">
        <v>269</v>
      </c>
      <c r="AA50" s="25">
        <v>45</v>
      </c>
      <c r="AB50" s="25">
        <v>61</v>
      </c>
      <c r="AC50" s="25" t="s">
        <v>0</v>
      </c>
      <c r="AD50" s="24" t="s">
        <v>187</v>
      </c>
      <c r="AE50" s="25">
        <v>45</v>
      </c>
      <c r="AF50" s="25">
        <v>298</v>
      </c>
    </row>
    <row r="51" spans="1:32" ht="15">
      <c r="A51" s="30">
        <v>49</v>
      </c>
      <c r="B51" s="30">
        <v>16</v>
      </c>
      <c r="C51" s="30" t="str">
        <f>IF(ISBLANK(B51),"",VLOOKUP(B51,Entries!$A$4:$C$70,2,FALSE))</f>
        <v>A</v>
      </c>
      <c r="D51" s="31" t="str">
        <f>IF(ISBLANK(B51),"",VLOOKUP(B51,Entries!$A$4:$C$70,3,FALSE))</f>
        <v>Havering 90 B</v>
      </c>
      <c r="E51" s="30">
        <f t="shared" si="1"/>
        <v>49</v>
      </c>
      <c r="F51" s="30">
        <f>IF(ISBLANK(B51),"",VLOOKUP(B51,Overall!$B$4:$AR$75,33,FALSE))</f>
        <v>370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66</v>
      </c>
      <c r="J51" s="31" t="s">
        <v>193</v>
      </c>
      <c r="K51" s="30">
        <v>281</v>
      </c>
      <c r="AA51" s="25">
        <v>33</v>
      </c>
      <c r="AB51" s="25">
        <v>70</v>
      </c>
      <c r="AC51" s="25" t="s">
        <v>0</v>
      </c>
      <c r="AD51" s="24" t="s">
        <v>199</v>
      </c>
      <c r="AE51" s="25">
        <v>33</v>
      </c>
      <c r="AF51" s="25">
        <v>306</v>
      </c>
    </row>
    <row r="52" spans="1:32" ht="15">
      <c r="A52" s="30">
        <v>50</v>
      </c>
      <c r="B52" s="30">
        <v>63</v>
      </c>
      <c r="C52" s="30" t="str">
        <f>IF(ISBLANK(B52),"",VLOOKUP(B52,Entries!$A$4:$C$70,2,FALSE))</f>
        <v>L</v>
      </c>
      <c r="D52" s="31" t="str">
        <f>IF(ISBLANK(B52),"",VLOOKUP(B52,Entries!$A$4:$C$70,3,FALSE))</f>
        <v>Billericay Striders</v>
      </c>
      <c r="E52" s="30">
        <f t="shared" si="1"/>
        <v>50</v>
      </c>
      <c r="F52" s="30">
        <f>IF(ISBLANK(B52),"",VLOOKUP(B52,Overall!$B$4:$AR$75,33,FALSE))</f>
        <v>496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61</v>
      </c>
      <c r="J52" s="31" t="s">
        <v>187</v>
      </c>
      <c r="K52" s="30">
        <v>298</v>
      </c>
      <c r="AA52" s="25">
        <v>42</v>
      </c>
      <c r="AB52" s="25">
        <v>58</v>
      </c>
      <c r="AC52" s="25" t="s">
        <v>0</v>
      </c>
      <c r="AD52" s="24" t="s">
        <v>182</v>
      </c>
      <c r="AE52" s="25">
        <v>42</v>
      </c>
      <c r="AF52" s="25">
        <v>319</v>
      </c>
    </row>
    <row r="53" spans="1:32" ht="15">
      <c r="A53" s="30">
        <v>51</v>
      </c>
      <c r="B53" s="30">
        <v>11</v>
      </c>
      <c r="C53" s="30" t="str">
        <f>IF(ISBLANK(B53),"",VLOOKUP(B53,Entries!$A$4:$C$70,2,FALSE))</f>
        <v>A</v>
      </c>
      <c r="D53" s="31" t="str">
        <f>IF(ISBLANK(B53),"",VLOOKUP(B53,Entries!$A$4:$C$70,3,FALSE))</f>
        <v>Billericay Striders</v>
      </c>
      <c r="E53" s="30">
        <f t="shared" si="1"/>
        <v>51</v>
      </c>
      <c r="F53" s="30">
        <f>IF(ISBLANK(B53),"",VLOOKUP(B53,Overall!$B$4:$AR$75,33,FALSE))</f>
        <v>493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70</v>
      </c>
      <c r="J53" s="31" t="s">
        <v>199</v>
      </c>
      <c r="K53" s="30">
        <v>306</v>
      </c>
      <c r="AA53" s="25">
        <v>53</v>
      </c>
      <c r="AB53" s="25">
        <v>60</v>
      </c>
      <c r="AC53" s="25" t="s">
        <v>0</v>
      </c>
      <c r="AD53" s="24" t="s">
        <v>184</v>
      </c>
      <c r="AE53" s="25">
        <v>53</v>
      </c>
      <c r="AF53" s="25">
        <v>352</v>
      </c>
    </row>
    <row r="54" spans="1:32" ht="15">
      <c r="A54" s="30">
        <v>52</v>
      </c>
      <c r="B54" s="30">
        <v>41</v>
      </c>
      <c r="C54" s="30" t="str">
        <f>IF(ISBLANK(B54),"",VLOOKUP(B54,Entries!$A$4:$C$70,2,FALSE))</f>
        <v>A</v>
      </c>
      <c r="D54" s="31" t="str">
        <f>IF(ISBLANK(B54),"",VLOOKUP(B54,Entries!$A$4:$C$70,3,FALSE))</f>
        <v>Pitsea RC Mixed</v>
      </c>
      <c r="E54" s="30">
        <f t="shared" si="1"/>
        <v>52</v>
      </c>
      <c r="F54" s="30">
        <f>IF(ISBLANK(B54),"",VLOOKUP(B54,Overall!$B$4:$AR$75,33,FALSE))</f>
        <v>448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58</v>
      </c>
      <c r="J54" s="31" t="s">
        <v>182</v>
      </c>
      <c r="K54" s="30">
        <v>319</v>
      </c>
      <c r="AA54" s="25">
        <v>56</v>
      </c>
      <c r="AB54" s="25">
        <v>68</v>
      </c>
      <c r="AC54" s="25" t="s">
        <v>0</v>
      </c>
      <c r="AD54" s="24" t="s">
        <v>197</v>
      </c>
      <c r="AE54" s="25">
        <v>56</v>
      </c>
      <c r="AF54" s="25">
        <v>384</v>
      </c>
    </row>
    <row r="55" spans="1:32" ht="15">
      <c r="A55" s="30">
        <v>53</v>
      </c>
      <c r="B55" s="30">
        <v>60</v>
      </c>
      <c r="C55" s="30" t="str">
        <f>IF(ISBLANK(B55),"",VLOOKUP(B55,Entries!$A$4:$C$70,2,FALSE))</f>
        <v>L</v>
      </c>
      <c r="D55" s="31" t="str">
        <f>IF(ISBLANK(B55),"",VLOOKUP(B55,Entries!$A$4:$C$70,3,FALSE))</f>
        <v>Tiptree Ladies</v>
      </c>
      <c r="E55" s="30">
        <f t="shared" si="1"/>
        <v>53</v>
      </c>
      <c r="F55" s="30">
        <f>IF(ISBLANK(B55),"",VLOOKUP(B55,Overall!$B$4:$AR$75,33,FALSE))</f>
        <v>352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60</v>
      </c>
      <c r="J55" s="31" t="s">
        <v>184</v>
      </c>
      <c r="K55" s="30">
        <v>352</v>
      </c>
      <c r="AA55" s="25">
        <v>50</v>
      </c>
      <c r="AB55" s="25">
        <v>63</v>
      </c>
      <c r="AC55" s="25" t="s">
        <v>0</v>
      </c>
      <c r="AD55" s="24" t="s">
        <v>65</v>
      </c>
      <c r="AE55" s="25">
        <v>50</v>
      </c>
      <c r="AF55" s="25">
        <v>496</v>
      </c>
    </row>
    <row r="56" spans="1:32" ht="15">
      <c r="A56" s="30">
        <v>54</v>
      </c>
      <c r="B56" s="30">
        <v>3</v>
      </c>
      <c r="C56" s="30" t="str">
        <f>IF(ISBLANK(B56),"",VLOOKUP(B56,Entries!$A$4:$C$70,2,FALSE))</f>
        <v>A</v>
      </c>
      <c r="D56" s="31" t="str">
        <f>IF(ISBLANK(B56),"",VLOOKUP(B56,Entries!$A$4:$C$70,3,FALSE))</f>
        <v>Tiptree A</v>
      </c>
      <c r="E56" s="30">
        <f aca="true" t="shared" si="2" ref="E56:E61">IF(ISBLANK(B56),"",A56)</f>
        <v>54</v>
      </c>
      <c r="F56" s="30">
        <f>IF(ISBLANK(B56),"",VLOOKUP(B56,Overall!$B$4:$AR$75,33,FALSE))</f>
        <v>346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68</v>
      </c>
      <c r="J56" s="31" t="s">
        <v>197</v>
      </c>
      <c r="K56" s="30">
        <v>384</v>
      </c>
      <c r="AA56" s="25">
        <v>100</v>
      </c>
      <c r="AB56" s="25">
        <v>67</v>
      </c>
      <c r="AC56" s="25" t="s">
        <v>0</v>
      </c>
      <c r="AD56" s="24" t="s">
        <v>196</v>
      </c>
      <c r="AE56" s="25">
        <v>100</v>
      </c>
      <c r="AF56" s="25">
        <v>539</v>
      </c>
    </row>
    <row r="57" spans="1:32" ht="15">
      <c r="A57" s="30">
        <v>55</v>
      </c>
      <c r="B57" s="30">
        <v>4</v>
      </c>
      <c r="C57" s="30" t="str">
        <f>IF(ISBLANK(B57),"",VLOOKUP(B57,Entries!$A$4:$C$70,2,FALSE))</f>
        <v>A</v>
      </c>
      <c r="D57" s="31" t="str">
        <f>IF(ISBLANK(B57),"",VLOOKUP(B57,Entries!$A$4:$C$70,3,FALSE))</f>
        <v>Tiptree B</v>
      </c>
      <c r="E57" s="30">
        <f t="shared" si="2"/>
        <v>55</v>
      </c>
      <c r="F57" s="30">
        <f>IF(ISBLANK(B57),"",VLOOKUP(B57,Overall!$B$4:$AR$75,33,FALSE))</f>
        <v>580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63</v>
      </c>
      <c r="J57" s="31" t="s">
        <v>65</v>
      </c>
      <c r="K57" s="30">
        <v>496</v>
      </c>
      <c r="AA57" s="25">
        <v>17</v>
      </c>
      <c r="AB57" s="25">
        <v>50</v>
      </c>
      <c r="AC57" s="25" t="s">
        <v>2</v>
      </c>
      <c r="AD57" s="24" t="s">
        <v>44</v>
      </c>
      <c r="AE57" s="25">
        <v>17</v>
      </c>
      <c r="AF57" s="25">
        <v>120</v>
      </c>
    </row>
    <row r="58" spans="1:32" ht="15">
      <c r="A58" s="30">
        <v>56</v>
      </c>
      <c r="B58" s="30">
        <v>68</v>
      </c>
      <c r="C58" s="30" t="str">
        <f>IF(ISBLANK(B58),"",VLOOKUP(B58,Entries!$A$4:$C$70,2,FALSE))</f>
        <v>L</v>
      </c>
      <c r="D58" s="31" t="str">
        <f>IF(ISBLANK(B58),"",VLOOKUP(B58,Entries!$A$4:$C$70,3,FALSE))</f>
        <v>Pitsea RC Ladies</v>
      </c>
      <c r="E58" s="30">
        <f t="shared" si="2"/>
        <v>56</v>
      </c>
      <c r="F58" s="30">
        <f>IF(ISBLANK(B58),"",VLOOKUP(B58,Overall!$B$4:$AR$75,33,FALSE))</f>
        <v>384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67</v>
      </c>
      <c r="J58" s="45" t="s">
        <v>196</v>
      </c>
      <c r="K58" s="44">
        <v>539</v>
      </c>
      <c r="AA58" s="25">
        <v>25</v>
      </c>
      <c r="AB58" s="25">
        <v>53</v>
      </c>
      <c r="AC58" s="25" t="s">
        <v>2</v>
      </c>
      <c r="AD58" s="24" t="s">
        <v>87</v>
      </c>
      <c r="AE58" s="25">
        <v>25</v>
      </c>
      <c r="AF58" s="25">
        <v>145</v>
      </c>
    </row>
    <row r="59" spans="1:32" ht="15">
      <c r="A59" s="30">
        <v>100</v>
      </c>
      <c r="B59" s="30">
        <v>38</v>
      </c>
      <c r="C59" s="30" t="str">
        <f>IF(ISBLANK(B59),"",VLOOKUP(B59,Entries!$A$4:$C$70,2,FALSE))</f>
        <v>A</v>
      </c>
      <c r="D59" s="31" t="str">
        <f>IF(ISBLANK(B59),"",VLOOKUP(B59,Entries!$A$4:$C$70,3,FALSE))</f>
        <v>Springfield Striders Mixed C</v>
      </c>
      <c r="E59" s="30">
        <f t="shared" si="2"/>
        <v>100</v>
      </c>
      <c r="F59" s="30">
        <f>IF(ISBLANK(B59),"",VLOOKUP(B59,Overall!$B$4:$AR$75,33,FALSE))</f>
        <v>377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26</v>
      </c>
      <c r="AB59" s="25">
        <v>51</v>
      </c>
      <c r="AC59" s="25" t="s">
        <v>2</v>
      </c>
      <c r="AD59" s="24" t="s">
        <v>178</v>
      </c>
      <c r="AE59" s="25">
        <v>26</v>
      </c>
      <c r="AF59" s="25">
        <v>224</v>
      </c>
    </row>
    <row r="60" spans="1:32" ht="15">
      <c r="A60" s="30">
        <v>100</v>
      </c>
      <c r="B60" s="30">
        <v>39</v>
      </c>
      <c r="C60" s="30" t="str">
        <f>IF(ISBLANK(B60),"",VLOOKUP(B60,Entries!$A$4:$C$70,2,FALSE))</f>
        <v>A</v>
      </c>
      <c r="D60" s="31" t="str">
        <f>IF(ISBLANK(B60),"",VLOOKUP(B60,Entries!$A$4:$C$70,3,FALSE))</f>
        <v>Springfield Striders Mixed D</v>
      </c>
      <c r="E60" s="30">
        <f t="shared" si="2"/>
        <v>100</v>
      </c>
      <c r="F60" s="30">
        <f>IF(ISBLANK(B60),"",VLOOKUP(B60,Overall!$B$4:$AR$75,33,FALSE))</f>
        <v>605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8"/>
      <c r="J60" s="47"/>
      <c r="K60" s="48" t="s">
        <v>73</v>
      </c>
      <c r="AA60" s="25">
        <v>13</v>
      </c>
      <c r="AB60" s="25">
        <v>12</v>
      </c>
      <c r="AC60" s="25" t="s">
        <v>2</v>
      </c>
      <c r="AD60" s="24" t="s">
        <v>84</v>
      </c>
      <c r="AE60" s="25">
        <v>13</v>
      </c>
      <c r="AF60" s="25">
        <v>244</v>
      </c>
    </row>
    <row r="61" spans="1:32" ht="15">
      <c r="A61" s="30">
        <v>100</v>
      </c>
      <c r="B61" s="30">
        <v>67</v>
      </c>
      <c r="C61" s="30" t="str">
        <f>IF(ISBLANK(B61),"",VLOOKUP(B61,Entries!$A$4:$C$70,2,FALSE))</f>
        <v>L</v>
      </c>
      <c r="D61" s="31" t="str">
        <f>IF(ISBLANK(B61),"",VLOOKUP(B61,Entries!$A$4:$C$70,3,FALSE))</f>
        <v>TGT Ladies B</v>
      </c>
      <c r="E61" s="30">
        <f t="shared" si="2"/>
        <v>100</v>
      </c>
      <c r="F61" s="30">
        <f>IF(ISBLANK(B61),"",VLOOKUP(B61,Overall!$B$4:$AR$75,33,FALSE))</f>
        <v>539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120</v>
      </c>
      <c r="AA61" s="25">
        <v>34</v>
      </c>
      <c r="AB61" s="25">
        <v>52</v>
      </c>
      <c r="AC61" s="25" t="s">
        <v>2</v>
      </c>
      <c r="AD61" s="24" t="s">
        <v>179</v>
      </c>
      <c r="AE61" s="25">
        <v>34</v>
      </c>
      <c r="AF61" s="25">
        <v>316</v>
      </c>
    </row>
    <row r="62" spans="8:11" ht="15">
      <c r="H62" s="30">
        <v>2</v>
      </c>
      <c r="I62" s="30">
        <v>53</v>
      </c>
      <c r="J62" s="31" t="s">
        <v>87</v>
      </c>
      <c r="K62" s="30">
        <v>145</v>
      </c>
    </row>
    <row r="63" spans="8:11" ht="15">
      <c r="H63" s="30">
        <v>3</v>
      </c>
      <c r="I63" s="30">
        <v>51</v>
      </c>
      <c r="J63" s="31" t="s">
        <v>178</v>
      </c>
      <c r="K63" s="30">
        <v>224</v>
      </c>
    </row>
    <row r="64" spans="8:11" ht="15">
      <c r="H64" s="30">
        <v>4</v>
      </c>
      <c r="I64" s="30">
        <v>12</v>
      </c>
      <c r="J64" s="31" t="s">
        <v>84</v>
      </c>
      <c r="K64" s="30">
        <v>244</v>
      </c>
    </row>
    <row r="65" spans="8:11" ht="15">
      <c r="H65" s="30">
        <v>5</v>
      </c>
      <c r="I65" s="30">
        <v>52</v>
      </c>
      <c r="J65" s="31" t="s">
        <v>179</v>
      </c>
      <c r="K65" s="30">
        <v>316</v>
      </c>
    </row>
    <row r="66" spans="8:11" ht="15">
      <c r="H66" s="36"/>
      <c r="I66" s="36"/>
      <c r="J66" s="35"/>
      <c r="K66" s="36"/>
    </row>
    <row r="67" spans="8:11" ht="15">
      <c r="H67" s="36"/>
      <c r="I67" s="36"/>
      <c r="J67" s="35"/>
      <c r="K67" s="36"/>
    </row>
    <row r="68" spans="8:11" ht="15">
      <c r="H68" s="36"/>
      <c r="I68" s="36"/>
      <c r="J68" s="35"/>
      <c r="K68" s="36"/>
    </row>
    <row r="69" spans="8:11" ht="15">
      <c r="H69" s="36"/>
      <c r="I69" s="36"/>
      <c r="J69" s="35"/>
      <c r="K69" s="36"/>
    </row>
    <row r="70" spans="8:11" ht="15">
      <c r="H70" s="36"/>
      <c r="I70" s="36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6.140625" style="25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9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8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28</v>
      </c>
      <c r="C3" s="30" t="str">
        <f>IF(ISBLANK(B3),"",VLOOKUP(B3,Entries!$A$4:$C$70,2,FALSE))</f>
        <v>A</v>
      </c>
      <c r="D3" s="31" t="str">
        <f>IF(ISBLANK(B3),"",VLOOKUP(B3,Entries!$A$4:$C$70,3,FALSE))</f>
        <v>Ilford A</v>
      </c>
      <c r="E3" s="30">
        <f aca="true" t="shared" si="0" ref="E3:E32">IF(ISBLANK(B3),"",A3)</f>
        <v>1</v>
      </c>
      <c r="F3" s="30">
        <f>IF(ISBLANK(B3),"",VLOOKUP(B3,Overall!$B$4:$AR$75,37,FALSE))</f>
        <v>39</v>
      </c>
      <c r="H3" s="30">
        <v>1</v>
      </c>
      <c r="I3" s="30">
        <v>23</v>
      </c>
      <c r="J3" s="31" t="s">
        <v>81</v>
      </c>
      <c r="K3" s="30">
        <v>29</v>
      </c>
      <c r="AA3" s="25">
        <v>2</v>
      </c>
      <c r="AB3" s="25">
        <v>23</v>
      </c>
      <c r="AC3" s="25" t="s">
        <v>3</v>
      </c>
      <c r="AD3" s="24" t="s">
        <v>81</v>
      </c>
      <c r="AE3" s="25">
        <v>2</v>
      </c>
      <c r="AF3" s="25">
        <v>29</v>
      </c>
    </row>
    <row r="4" spans="1:32" ht="15">
      <c r="A4" s="30">
        <v>2</v>
      </c>
      <c r="B4" s="30">
        <v>23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30">
        <f>IF(ISBLANK(B4),"",VLOOKUP(B4,Overall!$B$4:$AR$75,37,FALSE))</f>
        <v>29</v>
      </c>
      <c r="G4" s="25">
        <f>IF(ISBLANK($B3),"",IF($B4=$B3,"*",""))</f>
      </c>
      <c r="H4" s="30">
        <v>2</v>
      </c>
      <c r="I4" s="30">
        <v>28</v>
      </c>
      <c r="J4" s="31" t="s">
        <v>91</v>
      </c>
      <c r="K4" s="30">
        <v>39</v>
      </c>
      <c r="AA4" s="25">
        <v>1</v>
      </c>
      <c r="AB4" s="25">
        <v>28</v>
      </c>
      <c r="AC4" s="25" t="s">
        <v>3</v>
      </c>
      <c r="AD4" s="24" t="s">
        <v>91</v>
      </c>
      <c r="AE4" s="25">
        <v>1</v>
      </c>
      <c r="AF4" s="25">
        <v>39</v>
      </c>
    </row>
    <row r="5" spans="1:32" ht="15">
      <c r="A5" s="30">
        <v>3</v>
      </c>
      <c r="B5" s="30">
        <v>24</v>
      </c>
      <c r="C5" s="30" t="str">
        <f>IF(ISBLANK(B5),"",VLOOKUP(B5,Entries!$A$4:$C$70,2,FALSE))</f>
        <v>A</v>
      </c>
      <c r="D5" s="31" t="str">
        <f>IF(ISBLANK(B5),"",VLOOKUP(B5,Entries!$A$4:$C$70,3,FALSE))</f>
        <v>Southend Men A</v>
      </c>
      <c r="E5" s="30">
        <f t="shared" si="0"/>
        <v>3</v>
      </c>
      <c r="F5" s="30">
        <f>IF(ISBLANK(B5),"",VLOOKUP(B5,Overall!$B$4:$AR$75,37,FALSE))</f>
        <v>77</v>
      </c>
      <c r="G5" s="25">
        <f>IF(ISBLANK($B4),"",IF(OR($B5=$B4,$B5=$B3),"*",""))</f>
      </c>
      <c r="H5" s="30">
        <v>3</v>
      </c>
      <c r="I5" s="30">
        <v>17</v>
      </c>
      <c r="J5" s="31" t="s">
        <v>107</v>
      </c>
      <c r="K5" s="30">
        <v>52</v>
      </c>
      <c r="AA5" s="25">
        <v>9</v>
      </c>
      <c r="AB5" s="25">
        <v>17</v>
      </c>
      <c r="AC5" s="25" t="s">
        <v>3</v>
      </c>
      <c r="AD5" s="24" t="s">
        <v>107</v>
      </c>
      <c r="AE5" s="25">
        <v>9</v>
      </c>
      <c r="AF5" s="25">
        <v>52</v>
      </c>
    </row>
    <row r="6" spans="1:32" ht="15">
      <c r="A6" s="30">
        <v>4</v>
      </c>
      <c r="B6" s="30">
        <v>26</v>
      </c>
      <c r="C6" s="30" t="str">
        <f>IF(ISBLANK(B6),"",VLOOKUP(B6,Entries!$A$4:$C$70,2,FALSE))</f>
        <v>A</v>
      </c>
      <c r="D6" s="31" t="str">
        <f>IF(ISBLANK(B6),"",VLOOKUP(B6,Entries!$A$4:$C$70,3,FALSE))</f>
        <v>Harwich Runners Men</v>
      </c>
      <c r="E6" s="30">
        <f t="shared" si="0"/>
        <v>4</v>
      </c>
      <c r="F6" s="30">
        <f>IF(ISBLANK(B6),"",VLOOKUP(B6,Overall!$B$4:$AR$75,37,FALSE))</f>
        <v>130</v>
      </c>
      <c r="G6" s="25">
        <f>IF(ISBLANK($B5),"",IF(OR($B6=$B5,$B6=$B4,$B6=$B3),"*",""))</f>
      </c>
      <c r="H6" s="30">
        <v>4</v>
      </c>
      <c r="I6" s="30">
        <v>9</v>
      </c>
      <c r="J6" s="31" t="s">
        <v>135</v>
      </c>
      <c r="K6" s="30">
        <v>72</v>
      </c>
      <c r="AA6" s="25">
        <v>15</v>
      </c>
      <c r="AB6" s="25">
        <v>9</v>
      </c>
      <c r="AC6" s="25" t="s">
        <v>3</v>
      </c>
      <c r="AD6" s="24" t="s">
        <v>135</v>
      </c>
      <c r="AE6" s="25">
        <v>15</v>
      </c>
      <c r="AF6" s="25">
        <v>72</v>
      </c>
    </row>
    <row r="7" spans="1:32" ht="15">
      <c r="A7" s="30">
        <v>5</v>
      </c>
      <c r="B7" s="30">
        <v>5</v>
      </c>
      <c r="C7" s="30" t="str">
        <f>IF(ISBLANK(B7),"",VLOOKUP(B7,Entries!$A$4:$C$70,2,FALSE))</f>
        <v>A</v>
      </c>
      <c r="D7" s="31" t="str">
        <f>IF(ISBLANK(B7),"",VLOOKUP(B7,Entries!$A$4:$C$70,3,FALSE))</f>
        <v>Tiptree Men</v>
      </c>
      <c r="E7" s="30">
        <f t="shared" si="0"/>
        <v>5</v>
      </c>
      <c r="F7" s="30">
        <f>IF(ISBLANK(B7),"",VLOOKUP(B7,Overall!$B$4:$AR$75,37,FALSE))</f>
        <v>109</v>
      </c>
      <c r="G7" s="25">
        <f>IF(ISBLANK($B6),"",IF(OR($B7=$B6,$B7=$B5,$B7=$B4,$B7=$B3),"*",""))</f>
      </c>
      <c r="H7" s="30">
        <v>5</v>
      </c>
      <c r="I7" s="30">
        <v>31</v>
      </c>
      <c r="J7" s="31" t="s">
        <v>101</v>
      </c>
      <c r="K7" s="30">
        <v>73</v>
      </c>
      <c r="AA7" s="25">
        <v>11</v>
      </c>
      <c r="AB7" s="25">
        <v>31</v>
      </c>
      <c r="AC7" s="25" t="s">
        <v>3</v>
      </c>
      <c r="AD7" s="24" t="s">
        <v>101</v>
      </c>
      <c r="AE7" s="25">
        <v>11</v>
      </c>
      <c r="AF7" s="25">
        <v>73</v>
      </c>
    </row>
    <row r="8" spans="1:32" ht="15">
      <c r="A8" s="30">
        <v>6</v>
      </c>
      <c r="B8" s="30">
        <v>32</v>
      </c>
      <c r="C8" s="30" t="str">
        <f>IF(ISBLANK(B8),"",VLOOKUP(B8,Entries!$A$4:$C$70,2,FALSE))</f>
        <v>A</v>
      </c>
      <c r="D8" s="31" t="str">
        <f>IF(ISBLANK(B8),"",VLOOKUP(B8,Entries!$A$4:$C$70,3,FALSE))</f>
        <v>Grange Farm A</v>
      </c>
      <c r="E8" s="30">
        <f t="shared" si="0"/>
        <v>6</v>
      </c>
      <c r="F8" s="30">
        <f>IF(ISBLANK(B8),"",VLOOKUP(B8,Overall!$B$4:$AR$75,37,FALSE))</f>
        <v>86</v>
      </c>
      <c r="G8" s="25">
        <f>IF(ISBLANK($B7),"",IF(OR($B8=$B7,$B8=$B6,$B8=$B5,$B8=$B4,$B8=$B3),"*",""))</f>
      </c>
      <c r="H8" s="30">
        <v>6</v>
      </c>
      <c r="I8" s="30">
        <v>24</v>
      </c>
      <c r="J8" s="31" t="s">
        <v>157</v>
      </c>
      <c r="K8" s="30">
        <v>77</v>
      </c>
      <c r="AA8" s="25">
        <v>3</v>
      </c>
      <c r="AB8" s="25">
        <v>24</v>
      </c>
      <c r="AC8" s="25" t="s">
        <v>3</v>
      </c>
      <c r="AD8" s="24" t="s">
        <v>157</v>
      </c>
      <c r="AE8" s="25">
        <v>3</v>
      </c>
      <c r="AF8" s="25">
        <v>77</v>
      </c>
    </row>
    <row r="9" spans="1:32" ht="15">
      <c r="A9" s="30">
        <v>7</v>
      </c>
      <c r="B9" s="30">
        <v>50</v>
      </c>
      <c r="C9" s="30" t="str">
        <f>IF(ISBLANK(B9),"",VLOOKUP(B9,Entries!$A$4:$C$70,2,FALSE))</f>
        <v>V</v>
      </c>
      <c r="D9" s="31" t="str">
        <f>IF(ISBLANK(B9),"",VLOOKUP(B9,Entries!$A$4:$C$70,3,FALSE))</f>
        <v>Harwich Runners Vets</v>
      </c>
      <c r="E9" s="30">
        <f t="shared" si="0"/>
        <v>7</v>
      </c>
      <c r="F9" s="30">
        <f>IF(ISBLANK(B9),"",VLOOKUP(B9,Overall!$B$4:$AR$75,37,FALSE))</f>
        <v>127</v>
      </c>
      <c r="G9" s="25">
        <f>IF(ISBLANK($B8),"",IF(OR($B9=$B8,$B9=$B7,$B9=$B6,$B9=$B5,$B9=$B4,$B9=$B3),"*",""))</f>
      </c>
      <c r="H9" s="30">
        <v>7</v>
      </c>
      <c r="I9" s="30">
        <v>32</v>
      </c>
      <c r="J9" s="31" t="s">
        <v>163</v>
      </c>
      <c r="K9" s="30">
        <v>86</v>
      </c>
      <c r="AA9" s="25">
        <v>6</v>
      </c>
      <c r="AB9" s="25">
        <v>32</v>
      </c>
      <c r="AC9" s="25" t="s">
        <v>3</v>
      </c>
      <c r="AD9" s="24" t="s">
        <v>163</v>
      </c>
      <c r="AE9" s="25">
        <v>6</v>
      </c>
      <c r="AF9" s="25">
        <v>86</v>
      </c>
    </row>
    <row r="10" spans="1:32" ht="15">
      <c r="A10" s="30">
        <v>8</v>
      </c>
      <c r="B10" s="30">
        <v>40</v>
      </c>
      <c r="C10" s="30" t="str">
        <f>IF(ISBLANK(B10),"",VLOOKUP(B10,Entries!$A$4:$C$70,2,FALSE))</f>
        <v>A</v>
      </c>
      <c r="D10" s="31" t="str">
        <f>IF(ISBLANK(B10),"",VLOOKUP(B10,Entries!$A$4:$C$70,3,FALSE))</f>
        <v>Pitsea RC Men </v>
      </c>
      <c r="E10" s="30">
        <f t="shared" si="0"/>
        <v>8</v>
      </c>
      <c r="F10" s="30">
        <f>IF(ISBLANK(B10),"",VLOOKUP(B10,Overall!$B$4:$AR$75,37,FALSE))</f>
        <v>291</v>
      </c>
      <c r="G10" s="25">
        <f>IF(ISBLANK($B9),"",IF(OR($B10=$B9,$B10=$B8,$B10=$B7,$B10=$B6,$B10=$B5,$B10=$B4,$B10=$B3),"*",""))</f>
      </c>
      <c r="H10" s="30">
        <v>8</v>
      </c>
      <c r="I10" s="30">
        <v>21</v>
      </c>
      <c r="J10" s="31" t="s">
        <v>149</v>
      </c>
      <c r="K10" s="30">
        <v>88</v>
      </c>
      <c r="AA10" s="25">
        <v>31</v>
      </c>
      <c r="AB10" s="25">
        <v>21</v>
      </c>
      <c r="AC10" s="25" t="s">
        <v>3</v>
      </c>
      <c r="AD10" s="24" t="s">
        <v>149</v>
      </c>
      <c r="AE10" s="25">
        <v>31</v>
      </c>
      <c r="AF10" s="25">
        <v>88</v>
      </c>
    </row>
    <row r="11" spans="1:32" ht="15">
      <c r="A11" s="30">
        <v>9</v>
      </c>
      <c r="B11" s="30">
        <v>17</v>
      </c>
      <c r="C11" s="30" t="str">
        <f>IF(ISBLANK(B11),"",VLOOKUP(B11,Entries!$A$4:$C$70,2,FALSE))</f>
        <v>A</v>
      </c>
      <c r="D11" s="31" t="str">
        <f>IF(ISBLANK(B11),"",VLOOKUP(B11,Entries!$A$4:$C$70,3,FALSE))</f>
        <v>Benfleet Men A</v>
      </c>
      <c r="E11" s="30">
        <f t="shared" si="0"/>
        <v>9</v>
      </c>
      <c r="F11" s="30">
        <f>IF(ISBLANK(B11),"",VLOOKUP(B11,Overall!$B$4:$AR$75,37,FALSE))</f>
        <v>52</v>
      </c>
      <c r="G11" s="25">
        <f>IF(ISBLANK($B10),"",IF(OR($B11=$B10,$B11=$B9,$B11=$B8,$B11=$B7,$B11=$B6,$B11=$B5,$B11=$B4,$B11=$B3),"*",""))</f>
      </c>
      <c r="H11" s="30">
        <v>9</v>
      </c>
      <c r="I11" s="30">
        <v>5</v>
      </c>
      <c r="J11" s="31" t="s">
        <v>124</v>
      </c>
      <c r="K11" s="30">
        <v>109</v>
      </c>
      <c r="AA11" s="25">
        <v>5</v>
      </c>
      <c r="AB11" s="25">
        <v>5</v>
      </c>
      <c r="AC11" s="25" t="s">
        <v>3</v>
      </c>
      <c r="AD11" s="24" t="s">
        <v>124</v>
      </c>
      <c r="AE11" s="25">
        <v>5</v>
      </c>
      <c r="AF11" s="25">
        <v>109</v>
      </c>
    </row>
    <row r="12" spans="1:32" ht="15">
      <c r="A12" s="30">
        <v>10</v>
      </c>
      <c r="B12" s="30">
        <v>10</v>
      </c>
      <c r="C12" s="30" t="str">
        <f>IF(ISBLANK(B12),"",VLOOKUP(B12,Entries!$A$4:$C$70,2,FALSE))</f>
        <v>A</v>
      </c>
      <c r="D12" s="31" t="str">
        <f>IF(ISBLANK(B12),"",VLOOKUP(B12,Entries!$A$4:$C$70,3,FALSE))</f>
        <v>Colchester Harriers - Colchester Allsorts</v>
      </c>
      <c r="E12" s="30">
        <f t="shared" si="0"/>
        <v>10</v>
      </c>
      <c r="F12" s="30">
        <f>IF(ISBLANK(B12),"",VLOOKUP(B12,Overall!$B$4:$AR$75,37,FALSE))</f>
        <v>151</v>
      </c>
      <c r="G12" s="25">
        <f>IF(ISBLANK($B12),"",IF(OR($B12=$B11,$B12=$B10,$B12=$B9,$B12=$B8,$B12=$B7,$B12=$B6,$B12=$B5,$B12=$B4,$B12=$B3),"*",""))</f>
      </c>
      <c r="H12" s="30">
        <v>10</v>
      </c>
      <c r="I12" s="30">
        <v>18</v>
      </c>
      <c r="J12" s="31" t="s">
        <v>109</v>
      </c>
      <c r="K12" s="30">
        <v>125</v>
      </c>
      <c r="AA12" s="25">
        <v>22</v>
      </c>
      <c r="AB12" s="25">
        <v>18</v>
      </c>
      <c r="AC12" s="25" t="s">
        <v>3</v>
      </c>
      <c r="AD12" s="24" t="s">
        <v>109</v>
      </c>
      <c r="AE12" s="25">
        <v>22</v>
      </c>
      <c r="AF12" s="25">
        <v>125</v>
      </c>
    </row>
    <row r="13" spans="1:32" ht="15">
      <c r="A13" s="30">
        <v>11</v>
      </c>
      <c r="B13" s="30">
        <v>31</v>
      </c>
      <c r="C13" s="30" t="str">
        <f>IF(ISBLANK(B13),"",VLOOKUP(B13,Entries!$A$4:$C$70,2,FALSE))</f>
        <v>A</v>
      </c>
      <c r="D13" s="31" t="str">
        <f>IF(ISBLANK(B13),"",VLOOKUP(B13,Entries!$A$4:$C$70,3,FALSE))</f>
        <v>Springfield Striders Men B</v>
      </c>
      <c r="E13" s="30">
        <f t="shared" si="0"/>
        <v>11</v>
      </c>
      <c r="F13" s="30">
        <f>IF(ISBLANK(B13),"",VLOOKUP(B13,Overall!$B$4:$AR$75,37,FALSE))</f>
        <v>73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26</v>
      </c>
      <c r="J13" s="31" t="s">
        <v>162</v>
      </c>
      <c r="K13" s="30">
        <v>130</v>
      </c>
      <c r="AA13" s="25">
        <v>4</v>
      </c>
      <c r="AB13" s="25">
        <v>26</v>
      </c>
      <c r="AC13" s="25" t="s">
        <v>3</v>
      </c>
      <c r="AD13" s="24" t="s">
        <v>162</v>
      </c>
      <c r="AE13" s="25">
        <v>4</v>
      </c>
      <c r="AF13" s="25">
        <v>130</v>
      </c>
    </row>
    <row r="14" spans="1:32" ht="15">
      <c r="A14" s="30">
        <v>12</v>
      </c>
      <c r="B14" s="30">
        <v>1</v>
      </c>
      <c r="C14" s="30" t="str">
        <f>IF(ISBLANK(B14),"",VLOOKUP(B14,Entries!$A$4:$C$70,2,FALSE))</f>
        <v>A</v>
      </c>
      <c r="D14" s="31" t="str">
        <f>IF(ISBLANK(B14),"",VLOOKUP(B14,Entries!$A$4:$C$70,3,FALSE))</f>
        <v>Eton Manor AC</v>
      </c>
      <c r="E14" s="30">
        <f t="shared" si="0"/>
        <v>12</v>
      </c>
      <c r="F14" s="30">
        <f>IF(ISBLANK(B14),"",VLOOKUP(B14,Overall!$B$4:$AR$75,37,FALSE))</f>
        <v>245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10</v>
      </c>
      <c r="J14" s="31" t="s">
        <v>136</v>
      </c>
      <c r="K14" s="30">
        <v>151</v>
      </c>
      <c r="AA14" s="25">
        <v>10</v>
      </c>
      <c r="AB14" s="25">
        <v>10</v>
      </c>
      <c r="AC14" s="25" t="s">
        <v>3</v>
      </c>
      <c r="AD14" s="24" t="s">
        <v>136</v>
      </c>
      <c r="AE14" s="25">
        <v>10</v>
      </c>
      <c r="AF14" s="25">
        <v>151</v>
      </c>
    </row>
    <row r="15" spans="1:32" ht="15">
      <c r="A15" s="30">
        <v>13</v>
      </c>
      <c r="B15" s="30">
        <v>53</v>
      </c>
      <c r="C15" s="30" t="str">
        <f>IF(ISBLANK(B15),"",VLOOKUP(B15,Entries!$A$4:$C$70,2,FALSE))</f>
        <v>V</v>
      </c>
      <c r="D15" s="31" t="str">
        <f>IF(ISBLANK(B15),"",VLOOKUP(B15,Entries!$A$4:$C$70,3,FALSE))</f>
        <v>Springfield Striders Vets</v>
      </c>
      <c r="E15" s="30">
        <f t="shared" si="0"/>
        <v>13</v>
      </c>
      <c r="F15" s="30">
        <f>IF(ISBLANK(B15),"",VLOOKUP(B15,Overall!$B$4:$AR$75,37,FALSE))</f>
        <v>158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7</v>
      </c>
      <c r="J15" s="31" t="s">
        <v>129</v>
      </c>
      <c r="K15" s="30">
        <v>178</v>
      </c>
      <c r="AA15" s="25">
        <v>21</v>
      </c>
      <c r="AB15" s="25">
        <v>7</v>
      </c>
      <c r="AC15" s="25" t="s">
        <v>3</v>
      </c>
      <c r="AD15" s="24" t="s">
        <v>129</v>
      </c>
      <c r="AE15" s="25">
        <v>21</v>
      </c>
      <c r="AF15" s="25">
        <v>178</v>
      </c>
    </row>
    <row r="16" spans="1:32" ht="15">
      <c r="A16" s="30">
        <v>14</v>
      </c>
      <c r="B16" s="30">
        <v>27</v>
      </c>
      <c r="C16" s="30" t="str">
        <f>IF(ISBLANK(B16),"",VLOOKUP(B16,Entries!$A$4:$C$70,2,FALSE))</f>
        <v>A</v>
      </c>
      <c r="D16" s="31" t="str">
        <f>IF(ISBLANK(B16),"",VLOOKUP(B16,Entries!$A$4:$C$70,3,FALSE))</f>
        <v>Harwich Runners Mixed</v>
      </c>
      <c r="E16" s="30">
        <f t="shared" si="0"/>
        <v>14</v>
      </c>
      <c r="F16" s="30">
        <f>IF(ISBLANK(B16),"",VLOOKUP(B16,Overall!$B$4:$AR$75,37,FALSE))</f>
        <v>361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25</v>
      </c>
      <c r="J16" s="31" t="s">
        <v>160</v>
      </c>
      <c r="K16" s="30">
        <v>193</v>
      </c>
      <c r="AA16" s="25">
        <v>20</v>
      </c>
      <c r="AB16" s="25">
        <v>25</v>
      </c>
      <c r="AC16" s="25" t="s">
        <v>3</v>
      </c>
      <c r="AD16" s="24" t="s">
        <v>160</v>
      </c>
      <c r="AE16" s="25">
        <v>20</v>
      </c>
      <c r="AF16" s="25">
        <v>193</v>
      </c>
    </row>
    <row r="17" spans="1:32" ht="15">
      <c r="A17" s="30">
        <v>15</v>
      </c>
      <c r="B17" s="30">
        <v>9</v>
      </c>
      <c r="C17" s="30" t="str">
        <f>IF(ISBLANK(B17),"",VLOOKUP(B17,Entries!$A$4:$C$70,2,FALSE))</f>
        <v>A</v>
      </c>
      <c r="D17" s="31" t="str">
        <f>IF(ISBLANK(B17),"",VLOOKUP(B17,Entries!$A$4:$C$70,3,FALSE))</f>
        <v>Leigh on Sea Striders - I liked the Boys</v>
      </c>
      <c r="E17" s="30">
        <f t="shared" si="0"/>
        <v>15</v>
      </c>
      <c r="F17" s="30">
        <f>IF(ISBLANK(B17),"",VLOOKUP(B17,Overall!$B$4:$AR$75,37,FALSE))</f>
        <v>72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13</v>
      </c>
      <c r="J17" s="31" t="s">
        <v>85</v>
      </c>
      <c r="K17" s="30">
        <v>209</v>
      </c>
      <c r="AA17" s="25">
        <v>18</v>
      </c>
      <c r="AB17" s="25">
        <v>13</v>
      </c>
      <c r="AC17" s="25" t="s">
        <v>3</v>
      </c>
      <c r="AD17" s="24" t="s">
        <v>85</v>
      </c>
      <c r="AE17" s="25">
        <v>18</v>
      </c>
      <c r="AF17" s="25">
        <v>209</v>
      </c>
    </row>
    <row r="18" spans="1:32" ht="15">
      <c r="A18" s="30">
        <v>16</v>
      </c>
      <c r="B18" s="30">
        <v>69</v>
      </c>
      <c r="C18" s="30" t="str">
        <f>IF(ISBLANK(B18),"",VLOOKUP(B18,Entries!$A$4:$C$70,2,FALSE))</f>
        <v>L</v>
      </c>
      <c r="D18" s="31" t="str">
        <f>IF(ISBLANK(B18),"",VLOOKUP(B18,Entries!$A$4:$C$70,3,FALSE))</f>
        <v>Southend Ladies</v>
      </c>
      <c r="E18" s="30">
        <f t="shared" si="0"/>
        <v>16</v>
      </c>
      <c r="F18" s="30">
        <f>IF(ISBLANK(B18),"",VLOOKUP(B18,Overall!$B$4:$AR$75,37,FALSE))</f>
        <v>237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36</v>
      </c>
      <c r="J18" s="31" t="s">
        <v>102</v>
      </c>
      <c r="K18" s="30">
        <v>212</v>
      </c>
      <c r="AA18" s="25">
        <v>47</v>
      </c>
      <c r="AB18" s="25">
        <v>36</v>
      </c>
      <c r="AC18" s="25" t="s">
        <v>3</v>
      </c>
      <c r="AD18" s="24" t="s">
        <v>102</v>
      </c>
      <c r="AE18" s="25">
        <v>47</v>
      </c>
      <c r="AF18" s="25">
        <v>212</v>
      </c>
    </row>
    <row r="19" spans="1:32" ht="15">
      <c r="A19" s="30">
        <v>17</v>
      </c>
      <c r="B19" s="30">
        <v>57</v>
      </c>
      <c r="C19" s="30" t="str">
        <f>IF(ISBLANK(B19),"",VLOOKUP(B19,Entries!$A$4:$C$70,2,FALSE))</f>
        <v>L</v>
      </c>
      <c r="D19" s="31" t="str">
        <f>IF(ISBLANK(B19),"",VLOOKUP(B19,Entries!$A$4:$C$70,3,FALSE))</f>
        <v>Springfield Striders Ladies A</v>
      </c>
      <c r="E19" s="30">
        <f t="shared" si="0"/>
        <v>17</v>
      </c>
      <c r="F19" s="30">
        <f>IF(ISBLANK(B19),"",VLOOKUP(B19,Overall!$B$4:$AR$75,37,FALSE))</f>
        <v>281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33</v>
      </c>
      <c r="J19" s="31" t="s">
        <v>166</v>
      </c>
      <c r="K19" s="30">
        <v>243</v>
      </c>
      <c r="AA19" s="25">
        <v>28</v>
      </c>
      <c r="AB19" s="25">
        <v>33</v>
      </c>
      <c r="AC19" s="25" t="s">
        <v>3</v>
      </c>
      <c r="AD19" s="24" t="s">
        <v>166</v>
      </c>
      <c r="AE19" s="25">
        <v>28</v>
      </c>
      <c r="AF19" s="25">
        <v>243</v>
      </c>
    </row>
    <row r="20" spans="1:32" ht="15">
      <c r="A20" s="30">
        <v>18</v>
      </c>
      <c r="B20" s="30">
        <v>13</v>
      </c>
      <c r="C20" s="30" t="str">
        <f>IF(ISBLANK(B20),"",VLOOKUP(B20,Entries!$A$4:$C$70,2,FALSE))</f>
        <v>A</v>
      </c>
      <c r="D20" s="31" t="str">
        <f>IF(ISBLANK(B20),"",VLOOKUP(B20,Entries!$A$4:$C$70,3,FALSE))</f>
        <v>Mid Essex Casuals B</v>
      </c>
      <c r="E20" s="30">
        <f t="shared" si="0"/>
        <v>18</v>
      </c>
      <c r="F20" s="30">
        <f>IF(ISBLANK(B20),"",VLOOKUP(B20,Overall!$B$4:$AR$75,37,FALSE))</f>
        <v>209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1</v>
      </c>
      <c r="J20" s="31" t="s">
        <v>117</v>
      </c>
      <c r="K20" s="30">
        <v>245</v>
      </c>
      <c r="AA20" s="25">
        <v>12</v>
      </c>
      <c r="AB20" s="25">
        <v>1</v>
      </c>
      <c r="AC20" s="25" t="s">
        <v>3</v>
      </c>
      <c r="AD20" s="24" t="s">
        <v>117</v>
      </c>
      <c r="AE20" s="25">
        <v>12</v>
      </c>
      <c r="AF20" s="25">
        <v>245</v>
      </c>
    </row>
    <row r="21" spans="1:32" ht="15">
      <c r="A21" s="30">
        <v>19</v>
      </c>
      <c r="B21" s="30">
        <v>29</v>
      </c>
      <c r="C21" s="30" t="str">
        <f>IF(ISBLANK(B21),"",VLOOKUP(B21,Entries!$A$4:$C$70,2,FALSE))</f>
        <v>A</v>
      </c>
      <c r="D21" s="31" t="str">
        <f>IF(ISBLANK(B21),"",VLOOKUP(B21,Entries!$A$4:$C$70,3,FALSE))</f>
        <v>Ilford B</v>
      </c>
      <c r="E21" s="30">
        <f t="shared" si="0"/>
        <v>19</v>
      </c>
      <c r="F21" s="30">
        <f>IF(ISBLANK(B21),"",VLOOKUP(B21,Overall!$B$4:$AR$75,37,FALSE))</f>
        <v>259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29</v>
      </c>
      <c r="J21" s="31" t="s">
        <v>92</v>
      </c>
      <c r="K21" s="30">
        <v>259</v>
      </c>
      <c r="AA21" s="25">
        <v>19</v>
      </c>
      <c r="AB21" s="25">
        <v>29</v>
      </c>
      <c r="AC21" s="25" t="s">
        <v>3</v>
      </c>
      <c r="AD21" s="24" t="s">
        <v>92</v>
      </c>
      <c r="AE21" s="25">
        <v>19</v>
      </c>
      <c r="AF21" s="25">
        <v>259</v>
      </c>
    </row>
    <row r="22" spans="1:32" ht="15">
      <c r="A22" s="30">
        <v>20</v>
      </c>
      <c r="B22" s="30">
        <v>25</v>
      </c>
      <c r="C22" s="30" t="str">
        <f>IF(ISBLANK(B22),"",VLOOKUP(B22,Entries!$A$4:$C$70,2,FALSE))</f>
        <v>A</v>
      </c>
      <c r="D22" s="31" t="str">
        <f>IF(ISBLANK(B22),"",VLOOKUP(B22,Entries!$A$4:$C$70,3,FALSE))</f>
        <v>Southend Men B</v>
      </c>
      <c r="E22" s="30">
        <f t="shared" si="0"/>
        <v>20</v>
      </c>
      <c r="F22" s="30">
        <f>IF(ISBLANK(B22),"",VLOOKUP(B22,Overall!$B$4:$AR$75,37,FALSE))</f>
        <v>193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37</v>
      </c>
      <c r="J22" s="31" t="s">
        <v>103</v>
      </c>
      <c r="K22" s="30">
        <v>275</v>
      </c>
      <c r="AA22" s="25">
        <v>41</v>
      </c>
      <c r="AB22" s="25">
        <v>37</v>
      </c>
      <c r="AC22" s="25" t="s">
        <v>3</v>
      </c>
      <c r="AD22" s="24" t="s">
        <v>103</v>
      </c>
      <c r="AE22" s="25">
        <v>41</v>
      </c>
      <c r="AF22" s="25">
        <v>275</v>
      </c>
    </row>
    <row r="23" spans="1:32" ht="15">
      <c r="A23" s="30">
        <v>21</v>
      </c>
      <c r="B23" s="30">
        <v>7</v>
      </c>
      <c r="C23" s="30" t="str">
        <f>IF(ISBLANK(B23),"",VLOOKUP(B23,Entries!$A$4:$C$70,2,FALSE))</f>
        <v>A</v>
      </c>
      <c r="D23" s="31" t="str">
        <f>IF(ISBLANK(B23),"",VLOOKUP(B23,Entries!$A$4:$C$70,3,FALSE))</f>
        <v>Halstead Road Runners</v>
      </c>
      <c r="E23" s="30">
        <f t="shared" si="0"/>
        <v>21</v>
      </c>
      <c r="F23" s="30">
        <f>IF(ISBLANK(B23),"",VLOOKUP(B23,Overall!$B$4:$AR$75,37,FALSE))</f>
        <v>178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19</v>
      </c>
      <c r="J23" s="31" t="s">
        <v>110</v>
      </c>
      <c r="K23" s="30">
        <v>282</v>
      </c>
      <c r="AA23" s="25">
        <v>39</v>
      </c>
      <c r="AB23" s="25">
        <v>19</v>
      </c>
      <c r="AC23" s="25" t="s">
        <v>3</v>
      </c>
      <c r="AD23" s="24" t="s">
        <v>110</v>
      </c>
      <c r="AE23" s="25">
        <v>39</v>
      </c>
      <c r="AF23" s="25">
        <v>282</v>
      </c>
    </row>
    <row r="24" spans="1:32" ht="15">
      <c r="A24" s="30">
        <v>22</v>
      </c>
      <c r="B24" s="30">
        <v>18</v>
      </c>
      <c r="C24" s="30" t="str">
        <f>IF(ISBLANK(B24),"",VLOOKUP(B24,Entries!$A$4:$C$70,2,FALSE))</f>
        <v>A</v>
      </c>
      <c r="D24" s="31" t="str">
        <f>IF(ISBLANK(B24),"",VLOOKUP(B24,Entries!$A$4:$C$70,3,FALSE))</f>
        <v>Benfleet Men B</v>
      </c>
      <c r="E24" s="30">
        <f t="shared" si="0"/>
        <v>22</v>
      </c>
      <c r="F24" s="30">
        <f>IF(ISBLANK(B24),"",VLOOKUP(B24,Overall!$B$4:$AR$75,37,FALSE))</f>
        <v>125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40</v>
      </c>
      <c r="J24" s="31" t="s">
        <v>173</v>
      </c>
      <c r="K24" s="30">
        <v>291</v>
      </c>
      <c r="AA24" s="25">
        <v>8</v>
      </c>
      <c r="AB24" s="25">
        <v>40</v>
      </c>
      <c r="AC24" s="25" t="s">
        <v>3</v>
      </c>
      <c r="AD24" s="24" t="s">
        <v>173</v>
      </c>
      <c r="AE24" s="25">
        <v>8</v>
      </c>
      <c r="AF24" s="25">
        <v>291</v>
      </c>
    </row>
    <row r="25" spans="1:32" ht="15">
      <c r="A25" s="30">
        <v>23</v>
      </c>
      <c r="B25" s="30">
        <v>61</v>
      </c>
      <c r="C25" s="30" t="str">
        <f>IF(ISBLANK(B25),"",VLOOKUP(B25,Entries!$A$4:$C$70,2,FALSE))</f>
        <v>L</v>
      </c>
      <c r="D25" s="31" t="str">
        <f>IF(ISBLANK(B25),"",VLOOKUP(B25,Entries!$A$4:$C$70,3,FALSE))</f>
        <v>East Essex Tri Women</v>
      </c>
      <c r="E25" s="30">
        <f t="shared" si="0"/>
        <v>23</v>
      </c>
      <c r="F25" s="30">
        <f>IF(ISBLANK(B25),"",VLOOKUP(B25,Overall!$B$4:$AR$75,37,FALSE))</f>
        <v>321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8</v>
      </c>
      <c r="J25" s="31" t="s">
        <v>132</v>
      </c>
      <c r="K25" s="30">
        <v>319</v>
      </c>
      <c r="AA25" s="25">
        <v>24</v>
      </c>
      <c r="AB25" s="25">
        <v>8</v>
      </c>
      <c r="AC25" s="25" t="s">
        <v>3</v>
      </c>
      <c r="AD25" s="24" t="s">
        <v>132</v>
      </c>
      <c r="AE25" s="25">
        <v>24</v>
      </c>
      <c r="AF25" s="25">
        <v>319</v>
      </c>
    </row>
    <row r="26" spans="1:32" ht="15">
      <c r="A26" s="30">
        <v>24</v>
      </c>
      <c r="B26" s="30">
        <v>8</v>
      </c>
      <c r="C26" s="30" t="str">
        <f>IF(ISBLANK(B26),"",VLOOKUP(B26,Entries!$A$4:$C$70,2,FALSE))</f>
        <v>A</v>
      </c>
      <c r="D26" s="31" t="str">
        <f>IF(ISBLANK(B26),"",VLOOKUP(B26,Entries!$A$4:$C$70,3,FALSE))</f>
        <v>East Essex Tri Men</v>
      </c>
      <c r="E26" s="30">
        <f t="shared" si="0"/>
        <v>24</v>
      </c>
      <c r="F26" s="30">
        <f>IF(ISBLANK(B26),"",VLOOKUP(B26,Overall!$B$4:$AR$75,37,FALSE))</f>
        <v>319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14</v>
      </c>
      <c r="J26" s="31" t="s">
        <v>141</v>
      </c>
      <c r="K26" s="30">
        <v>323</v>
      </c>
      <c r="AA26" s="25">
        <v>38</v>
      </c>
      <c r="AB26" s="25">
        <v>14</v>
      </c>
      <c r="AC26" s="25" t="s">
        <v>3</v>
      </c>
      <c r="AD26" s="24" t="s">
        <v>141</v>
      </c>
      <c r="AE26" s="25">
        <v>38</v>
      </c>
      <c r="AF26" s="25">
        <v>323</v>
      </c>
    </row>
    <row r="27" spans="1:32" ht="15">
      <c r="A27" s="30">
        <v>25</v>
      </c>
      <c r="B27" s="30">
        <v>59</v>
      </c>
      <c r="C27" s="30" t="str">
        <f>IF(ISBLANK(B27),"",VLOOKUP(B27,Entries!$A$4:$C$70,2,FALSE))</f>
        <v>L</v>
      </c>
      <c r="D27" s="31" t="str">
        <f>IF(ISBLANK(B27),"",VLOOKUP(B27,Entries!$A$4:$C$70,3,FALSE))</f>
        <v>Grange Farm Ladies</v>
      </c>
      <c r="E27" s="30">
        <f t="shared" si="0"/>
        <v>25</v>
      </c>
      <c r="F27" s="30">
        <f>IF(ISBLANK(B27),"",VLOOKUP(B27,Overall!$B$4:$AR$75,37,FALSE))</f>
        <v>276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34</v>
      </c>
      <c r="J27" s="31" t="s">
        <v>167</v>
      </c>
      <c r="K27" s="30">
        <v>327</v>
      </c>
      <c r="AA27" s="25">
        <v>33</v>
      </c>
      <c r="AB27" s="25">
        <v>34</v>
      </c>
      <c r="AC27" s="25" t="s">
        <v>3</v>
      </c>
      <c r="AD27" s="24" t="s">
        <v>167</v>
      </c>
      <c r="AE27" s="25">
        <v>33</v>
      </c>
      <c r="AF27" s="25">
        <v>327</v>
      </c>
    </row>
    <row r="28" spans="1:32" ht="15">
      <c r="A28" s="30">
        <v>26</v>
      </c>
      <c r="B28" s="30">
        <v>64</v>
      </c>
      <c r="C28" s="30" t="str">
        <f>IF(ISBLANK(B28),"",VLOOKUP(B28,Entries!$A$4:$C$70,2,FALSE))</f>
        <v>L</v>
      </c>
      <c r="D28" s="31" t="str">
        <f>IF(ISBLANK(B28),"",VLOOKUP(B28,Entries!$A$4:$C$70,3,FALSE))</f>
        <v>Benfleet Ladies A</v>
      </c>
      <c r="E28" s="30">
        <f t="shared" si="0"/>
        <v>26</v>
      </c>
      <c r="F28" s="30">
        <f>IF(ISBLANK(B28),"",VLOOKUP(B28,Overall!$B$4:$AR$75,37,FALSE))</f>
        <v>162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2</v>
      </c>
      <c r="J28" s="31" t="s">
        <v>98</v>
      </c>
      <c r="K28" s="30">
        <v>328</v>
      </c>
      <c r="AA28" s="25">
        <v>50</v>
      </c>
      <c r="AB28" s="25">
        <v>2</v>
      </c>
      <c r="AC28" s="25" t="s">
        <v>3</v>
      </c>
      <c r="AD28" s="24" t="s">
        <v>98</v>
      </c>
      <c r="AE28" s="25">
        <v>50</v>
      </c>
      <c r="AF28" s="25">
        <v>328</v>
      </c>
    </row>
    <row r="29" spans="1:32" ht="15">
      <c r="A29" s="30">
        <v>27</v>
      </c>
      <c r="B29" s="30">
        <v>70</v>
      </c>
      <c r="C29" s="30" t="str">
        <f>IF(ISBLANK(B29),"",VLOOKUP(B29,Entries!$A$4:$C$70,2,FALSE))</f>
        <v>L</v>
      </c>
      <c r="D29" s="31" t="str">
        <f>IF(ISBLANK(B29),"",VLOOKUP(B29,Entries!$A$4:$C$70,3,FALSE))</f>
        <v>Harwich Runners Ladies</v>
      </c>
      <c r="E29" s="30">
        <f t="shared" si="0"/>
        <v>27</v>
      </c>
      <c r="F29" s="30">
        <f>IF(ISBLANK(B29),"",VLOOKUP(B29,Overall!$B$4:$AR$75,37,FALSE))</f>
        <v>333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6</v>
      </c>
      <c r="J29" s="31" t="s">
        <v>127</v>
      </c>
      <c r="K29" s="30">
        <v>329</v>
      </c>
      <c r="AA29" s="25">
        <v>52</v>
      </c>
      <c r="AB29" s="25">
        <v>6</v>
      </c>
      <c r="AC29" s="25" t="s">
        <v>3</v>
      </c>
      <c r="AD29" s="24" t="s">
        <v>127</v>
      </c>
      <c r="AE29" s="25">
        <v>52</v>
      </c>
      <c r="AF29" s="25">
        <v>329</v>
      </c>
    </row>
    <row r="30" spans="1:32" ht="15">
      <c r="A30" s="30">
        <v>28</v>
      </c>
      <c r="B30" s="30">
        <v>33</v>
      </c>
      <c r="C30" s="30" t="str">
        <f>IF(ISBLANK(B30),"",VLOOKUP(B30,Entries!$A$4:$C$70,2,FALSE))</f>
        <v>A</v>
      </c>
      <c r="D30" s="31" t="str">
        <f>IF(ISBLANK(B30),"",VLOOKUP(B30,Entries!$A$4:$C$70,3,FALSE))</f>
        <v>Grange Farm B</v>
      </c>
      <c r="E30" s="30">
        <f t="shared" si="0"/>
        <v>28</v>
      </c>
      <c r="F30" s="30">
        <f>IF(ISBLANK(B30),"",VLOOKUP(B30,Overall!$B$4:$AR$75,37,FALSE))</f>
        <v>243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22</v>
      </c>
      <c r="J30" s="31" t="s">
        <v>152</v>
      </c>
      <c r="K30" s="30">
        <v>345</v>
      </c>
      <c r="AA30" s="25">
        <v>53</v>
      </c>
      <c r="AB30" s="25">
        <v>22</v>
      </c>
      <c r="AC30" s="25" t="s">
        <v>3</v>
      </c>
      <c r="AD30" s="24" t="s">
        <v>152</v>
      </c>
      <c r="AE30" s="25">
        <v>53</v>
      </c>
      <c r="AF30" s="25">
        <v>345</v>
      </c>
    </row>
    <row r="31" spans="1:32" ht="15">
      <c r="A31" s="30">
        <v>29</v>
      </c>
      <c r="B31" s="30">
        <v>62</v>
      </c>
      <c r="C31" s="30" t="str">
        <f>IF(ISBLANK(B31),"",VLOOKUP(B31,Entries!$A$4:$C$70,2,FALSE))</f>
        <v>L</v>
      </c>
      <c r="D31" s="31" t="str">
        <f>IF(ISBLANK(B31),"",VLOOKUP(B31,Entries!$A$4:$C$70,3,FALSE))</f>
        <v>Leigh on Sea - Weekend without Make up</v>
      </c>
      <c r="E31" s="30">
        <f t="shared" si="0"/>
        <v>29</v>
      </c>
      <c r="F31" s="30">
        <f>IF(ISBLANK(B31),"",VLOOKUP(B31,Overall!$B$4:$AR$75,37,FALSE))</f>
        <v>281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27</v>
      </c>
      <c r="J31" s="31" t="s">
        <v>97</v>
      </c>
      <c r="K31" s="30">
        <v>361</v>
      </c>
      <c r="AA31" s="25">
        <v>14</v>
      </c>
      <c r="AB31" s="25">
        <v>27</v>
      </c>
      <c r="AC31" s="25" t="s">
        <v>3</v>
      </c>
      <c r="AD31" s="24" t="s">
        <v>97</v>
      </c>
      <c r="AE31" s="25">
        <v>14</v>
      </c>
      <c r="AF31" s="25">
        <v>361</v>
      </c>
    </row>
    <row r="32" spans="1:32" ht="15">
      <c r="A32" s="30">
        <v>30</v>
      </c>
      <c r="B32" s="30">
        <v>65</v>
      </c>
      <c r="C32" s="30" t="str">
        <f>IF(ISBLANK(B32),"",VLOOKUP(B32,Entries!$A$4:$C$70,2,FALSE))</f>
        <v>L</v>
      </c>
      <c r="D32" s="31" t="str">
        <f>IF(ISBLANK(B32),"",VLOOKUP(B32,Entries!$A$4:$C$70,3,FALSE))</f>
        <v>Benfleet Ladies B</v>
      </c>
      <c r="E32" s="30">
        <f t="shared" si="0"/>
        <v>30</v>
      </c>
      <c r="F32" s="30">
        <f>IF(ISBLANK(B32),"",VLOOKUP(B32,Overall!$B$4:$AR$75,37,FALSE))</f>
        <v>299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30</v>
      </c>
      <c r="J32" s="31" t="s">
        <v>100</v>
      </c>
      <c r="K32" s="30">
        <v>372</v>
      </c>
      <c r="AA32" s="25">
        <v>37</v>
      </c>
      <c r="AB32" s="25">
        <v>30</v>
      </c>
      <c r="AC32" s="25" t="s">
        <v>3</v>
      </c>
      <c r="AD32" s="24" t="s">
        <v>100</v>
      </c>
      <c r="AE32" s="25">
        <v>37</v>
      </c>
      <c r="AF32" s="25">
        <v>372</v>
      </c>
    </row>
    <row r="33" spans="1:32" ht="15">
      <c r="A33" s="30">
        <v>31</v>
      </c>
      <c r="B33" s="30">
        <v>21</v>
      </c>
      <c r="C33" s="30" t="str">
        <f>IF(ISBLANK(B33),"",VLOOKUP(B33,Entries!$A$4:$C$70,2,FALSE))</f>
        <v>A</v>
      </c>
      <c r="D33" s="31" t="str">
        <f>IF(ISBLANK(B33),"",VLOOKUP(B33,Entries!$A$4:$C$70,3,FALSE))</f>
        <v>TGT Men A</v>
      </c>
      <c r="E33" s="30">
        <f aca="true" t="shared" si="1" ref="E33:E55">IF(ISBLANK(B33),"",A33)</f>
        <v>31</v>
      </c>
      <c r="F33" s="30">
        <f>IF(ISBLANK(B33),"",VLOOKUP(B33,Overall!$B$4:$AR$75,37,FALSE))</f>
        <v>88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35</v>
      </c>
      <c r="J33" s="31" t="s">
        <v>168</v>
      </c>
      <c r="K33" s="30">
        <v>386</v>
      </c>
      <c r="AA33" s="25">
        <v>32</v>
      </c>
      <c r="AB33" s="25">
        <v>35</v>
      </c>
      <c r="AC33" s="25" t="s">
        <v>3</v>
      </c>
      <c r="AD33" s="24" t="s">
        <v>168</v>
      </c>
      <c r="AE33" s="25">
        <v>32</v>
      </c>
      <c r="AF33" s="25">
        <v>386</v>
      </c>
    </row>
    <row r="34" spans="1:32" ht="15">
      <c r="A34" s="30">
        <v>32</v>
      </c>
      <c r="B34" s="30">
        <v>35</v>
      </c>
      <c r="C34" s="30" t="str">
        <f>IF(ISBLANK(B34),"",VLOOKUP(B34,Entries!$A$4:$C$70,2,FALSE))</f>
        <v>A</v>
      </c>
      <c r="D34" s="31" t="str">
        <f>IF(ISBLANK(B34),"",VLOOKUP(B34,Entries!$A$4:$C$70,3,FALSE))</f>
        <v>Leigh on Sea Towels by Poolside</v>
      </c>
      <c r="E34" s="30">
        <f t="shared" si="1"/>
        <v>32</v>
      </c>
      <c r="F34" s="30">
        <f>IF(ISBLANK(B34),"",VLOOKUP(B34,Overall!$B$4:$AR$75,37,FALSE))</f>
        <v>386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20</v>
      </c>
      <c r="J34" s="31" t="s">
        <v>145</v>
      </c>
      <c r="K34" s="30">
        <v>402</v>
      </c>
      <c r="AA34" s="25">
        <v>57</v>
      </c>
      <c r="AB34" s="25">
        <v>20</v>
      </c>
      <c r="AC34" s="25" t="s">
        <v>3</v>
      </c>
      <c r="AD34" s="24" t="s">
        <v>145</v>
      </c>
      <c r="AE34" s="25">
        <v>57</v>
      </c>
      <c r="AF34" s="25">
        <v>402</v>
      </c>
    </row>
    <row r="35" spans="1:32" ht="15">
      <c r="A35" s="30">
        <v>33</v>
      </c>
      <c r="B35" s="30">
        <v>34</v>
      </c>
      <c r="C35" s="30" t="str">
        <f>IF(ISBLANK(B35),"",VLOOKUP(B35,Entries!$A$4:$C$70,2,FALSE))</f>
        <v>A</v>
      </c>
      <c r="D35" s="31" t="str">
        <f>IF(ISBLANK(B35),"",VLOOKUP(B35,Entries!$A$4:$C$70,3,FALSE))</f>
        <v>Grange Farm C</v>
      </c>
      <c r="E35" s="30">
        <f t="shared" si="1"/>
        <v>33</v>
      </c>
      <c r="F35" s="30">
        <f>IF(ISBLANK(B35),"",VLOOKUP(B35,Overall!$B$4:$AR$75,37,FALSE))</f>
        <v>327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16</v>
      </c>
      <c r="J35" s="31" t="s">
        <v>143</v>
      </c>
      <c r="K35" s="30">
        <v>404</v>
      </c>
      <c r="AA35" s="25">
        <v>34</v>
      </c>
      <c r="AB35" s="25">
        <v>16</v>
      </c>
      <c r="AC35" s="25" t="s">
        <v>3</v>
      </c>
      <c r="AD35" s="24" t="s">
        <v>143</v>
      </c>
      <c r="AE35" s="25">
        <v>34</v>
      </c>
      <c r="AF35" s="25">
        <v>404</v>
      </c>
    </row>
    <row r="36" spans="1:32" ht="15">
      <c r="A36" s="30">
        <v>34</v>
      </c>
      <c r="B36" s="30">
        <v>16</v>
      </c>
      <c r="C36" s="30" t="str">
        <f>IF(ISBLANK(B36),"",VLOOKUP(B36,Entries!$A$4:$C$70,2,FALSE))</f>
        <v>A</v>
      </c>
      <c r="D36" s="31" t="str">
        <f>IF(ISBLANK(B36),"",VLOOKUP(B36,Entries!$A$4:$C$70,3,FALSE))</f>
        <v>Havering 90 B</v>
      </c>
      <c r="E36" s="30">
        <f t="shared" si="1"/>
        <v>34</v>
      </c>
      <c r="F36" s="30">
        <f>IF(ISBLANK(B36),"",VLOOKUP(B36,Overall!$B$4:$AR$75,37,FALSE))</f>
        <v>404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3</v>
      </c>
      <c r="J36" s="31" t="s">
        <v>120</v>
      </c>
      <c r="K36" s="30">
        <v>405</v>
      </c>
      <c r="AA36" s="25">
        <v>59</v>
      </c>
      <c r="AB36" s="25">
        <v>3</v>
      </c>
      <c r="AC36" s="25" t="s">
        <v>3</v>
      </c>
      <c r="AD36" s="24" t="s">
        <v>120</v>
      </c>
      <c r="AE36" s="25">
        <v>59</v>
      </c>
      <c r="AF36" s="25">
        <v>405</v>
      </c>
    </row>
    <row r="37" spans="1:32" ht="15">
      <c r="A37" s="30">
        <v>35</v>
      </c>
      <c r="B37" s="30">
        <v>67</v>
      </c>
      <c r="C37" s="30" t="str">
        <f>IF(ISBLANK(B37),"",VLOOKUP(B37,Entries!$A$4:$C$70,2,FALSE))</f>
        <v>L</v>
      </c>
      <c r="D37" s="31" t="str">
        <f>IF(ISBLANK(B37),"",VLOOKUP(B37,Entries!$A$4:$C$70,3,FALSE))</f>
        <v>TGT Ladies B</v>
      </c>
      <c r="E37" s="30">
        <f t="shared" si="1"/>
        <v>35</v>
      </c>
      <c r="F37" s="30">
        <f>IF(ISBLANK(B37),"",VLOOKUP(B37,Overall!$B$4:$AR$75,37,FALSE))</f>
        <v>574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38</v>
      </c>
      <c r="J37" s="31" t="s">
        <v>104</v>
      </c>
      <c r="K37" s="30">
        <v>432</v>
      </c>
      <c r="AA37" s="25">
        <v>55</v>
      </c>
      <c r="AB37" s="25">
        <v>38</v>
      </c>
      <c r="AC37" s="25" t="s">
        <v>3</v>
      </c>
      <c r="AD37" s="24" t="s">
        <v>104</v>
      </c>
      <c r="AE37" s="25">
        <v>55</v>
      </c>
      <c r="AF37" s="25">
        <v>432</v>
      </c>
    </row>
    <row r="38" spans="1:32" ht="15">
      <c r="A38" s="30">
        <v>36</v>
      </c>
      <c r="B38" s="30">
        <v>58</v>
      </c>
      <c r="C38" s="30" t="str">
        <f>IF(ISBLANK(B38),"",VLOOKUP(B38,Entries!$A$4:$C$70,2,FALSE))</f>
        <v>L</v>
      </c>
      <c r="D38" s="31" t="str">
        <f>IF(ISBLANK(B38),"",VLOOKUP(B38,Entries!$A$4:$C$70,3,FALSE))</f>
        <v>Springfield Striders Ladies B</v>
      </c>
      <c r="E38" s="30">
        <f t="shared" si="1"/>
        <v>36</v>
      </c>
      <c r="F38" s="30">
        <f>IF(ISBLANK(B38),"",VLOOKUP(B38,Overall!$B$4:$AR$75,37,FALSE))</f>
        <v>355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15</v>
      </c>
      <c r="J38" s="31" t="s">
        <v>142</v>
      </c>
      <c r="K38" s="30">
        <v>454</v>
      </c>
      <c r="AA38" s="25">
        <v>58</v>
      </c>
      <c r="AB38" s="25">
        <v>15</v>
      </c>
      <c r="AC38" s="25" t="s">
        <v>3</v>
      </c>
      <c r="AD38" s="24" t="s">
        <v>142</v>
      </c>
      <c r="AE38" s="25">
        <v>58</v>
      </c>
      <c r="AF38" s="25">
        <v>454</v>
      </c>
    </row>
    <row r="39" spans="1:32" ht="15">
      <c r="A39" s="30">
        <v>37</v>
      </c>
      <c r="B39" s="30">
        <v>30</v>
      </c>
      <c r="C39" s="30" t="str">
        <f>IF(ISBLANK(B39),"",VLOOKUP(B39,Entries!$A$4:$C$70,2,FALSE))</f>
        <v>A</v>
      </c>
      <c r="D39" s="31" t="str">
        <f>IF(ISBLANK(B39),"",VLOOKUP(B39,Entries!$A$4:$C$70,3,FALSE))</f>
        <v>Witham Running Club</v>
      </c>
      <c r="E39" s="30">
        <f t="shared" si="1"/>
        <v>37</v>
      </c>
      <c r="F39" s="30">
        <f>IF(ISBLANK(B39),"",VLOOKUP(B39,Overall!$B$4:$AR$75,37,FALSE))</f>
        <v>372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41</v>
      </c>
      <c r="J39" s="31" t="s">
        <v>176</v>
      </c>
      <c r="K39" s="30">
        <v>493</v>
      </c>
      <c r="AA39" s="25">
        <v>45</v>
      </c>
      <c r="AB39" s="25">
        <v>41</v>
      </c>
      <c r="AC39" s="25" t="s">
        <v>3</v>
      </c>
      <c r="AD39" s="24" t="s">
        <v>176</v>
      </c>
      <c r="AE39" s="25">
        <v>45</v>
      </c>
      <c r="AF39" s="25">
        <v>493</v>
      </c>
    </row>
    <row r="40" spans="1:32" ht="15">
      <c r="A40" s="30">
        <v>38</v>
      </c>
      <c r="B40" s="30">
        <v>14</v>
      </c>
      <c r="C40" s="30" t="str">
        <f>IF(ISBLANK(B40),"",VLOOKUP(B40,Entries!$A$4:$C$70,2,FALSE))</f>
        <v>A</v>
      </c>
      <c r="D40" s="31" t="str">
        <f>IF(ISBLANK(B40),"",VLOOKUP(B40,Entries!$A$4:$C$70,3,FALSE))</f>
        <v>Mid Essex Casuals C</v>
      </c>
      <c r="E40" s="30">
        <f t="shared" si="1"/>
        <v>38</v>
      </c>
      <c r="F40" s="30">
        <f>IF(ISBLANK(B40),"",VLOOKUP(B40,Overall!$B$4:$AR$75,37,FALSE))</f>
        <v>323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11</v>
      </c>
      <c r="J40" s="31" t="s">
        <v>65</v>
      </c>
      <c r="K40" s="30">
        <v>537</v>
      </c>
      <c r="AA40" s="25">
        <v>44</v>
      </c>
      <c r="AB40" s="25">
        <v>11</v>
      </c>
      <c r="AC40" s="25" t="s">
        <v>3</v>
      </c>
      <c r="AD40" s="24" t="s">
        <v>65</v>
      </c>
      <c r="AE40" s="25">
        <v>44</v>
      </c>
      <c r="AF40" s="25">
        <v>537</v>
      </c>
    </row>
    <row r="41" spans="1:32" ht="15">
      <c r="A41" s="30">
        <v>39</v>
      </c>
      <c r="B41" s="30">
        <v>19</v>
      </c>
      <c r="C41" s="30" t="str">
        <f>IF(ISBLANK(B41),"",VLOOKUP(B41,Entries!$A$4:$C$70,2,FALSE))</f>
        <v>A</v>
      </c>
      <c r="D41" s="31" t="str">
        <f>IF(ISBLANK(B41),"",VLOOKUP(B41,Entries!$A$4:$C$70,3,FALSE))</f>
        <v>Benfleet Men C</v>
      </c>
      <c r="E41" s="30">
        <f t="shared" si="1"/>
        <v>39</v>
      </c>
      <c r="F41" s="30">
        <f>IF(ISBLANK(B41),"",VLOOKUP(B41,Overall!$B$4:$AR$75,37,FALSE))</f>
        <v>282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4</v>
      </c>
      <c r="J41" s="31" t="s">
        <v>123</v>
      </c>
      <c r="K41" s="30">
        <v>629</v>
      </c>
      <c r="AA41" s="25">
        <v>49</v>
      </c>
      <c r="AB41" s="25">
        <v>4</v>
      </c>
      <c r="AC41" s="25" t="s">
        <v>3</v>
      </c>
      <c r="AD41" s="24" t="s">
        <v>123</v>
      </c>
      <c r="AE41" s="25">
        <v>49</v>
      </c>
      <c r="AF41" s="25">
        <v>629</v>
      </c>
    </row>
    <row r="42" spans="1:32" ht="15">
      <c r="A42" s="30">
        <v>40</v>
      </c>
      <c r="B42" s="30">
        <v>12</v>
      </c>
      <c r="C42" s="30" t="str">
        <f>IF(ISBLANK(B42),"",VLOOKUP(B42,Entries!$A$4:$C$70,2,FALSE))</f>
        <v>V</v>
      </c>
      <c r="D42" s="31" t="str">
        <f>IF(ISBLANK(B42),"",VLOOKUP(B42,Entries!$A$4:$C$70,3,FALSE))</f>
        <v>Mid Essex Casuals A</v>
      </c>
      <c r="E42" s="30">
        <f t="shared" si="1"/>
        <v>40</v>
      </c>
      <c r="F42" s="30">
        <f>IF(ISBLANK(B42),"",VLOOKUP(B42,Overall!$B$4:$AR$75,37,FALSE))</f>
        <v>284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39</v>
      </c>
      <c r="J42" s="45" t="s">
        <v>105</v>
      </c>
      <c r="K42" s="44">
        <v>656</v>
      </c>
      <c r="AA42" s="25">
        <v>51</v>
      </c>
      <c r="AB42" s="25">
        <v>39</v>
      </c>
      <c r="AC42" s="25" t="s">
        <v>3</v>
      </c>
      <c r="AD42" s="24" t="s">
        <v>105</v>
      </c>
      <c r="AE42" s="25">
        <v>51</v>
      </c>
      <c r="AF42" s="25">
        <v>656</v>
      </c>
    </row>
    <row r="43" spans="1:32" ht="15">
      <c r="A43" s="30">
        <v>41</v>
      </c>
      <c r="B43" s="30">
        <v>37</v>
      </c>
      <c r="C43" s="30" t="str">
        <f>IF(ISBLANK(B43),"",VLOOKUP(B43,Entries!$A$4:$C$70,2,FALSE))</f>
        <v>A</v>
      </c>
      <c r="D43" s="31" t="str">
        <f>IF(ISBLANK(B43),"",VLOOKUP(B43,Entries!$A$4:$C$70,3,FALSE))</f>
        <v>Springfield Striders Mixed B</v>
      </c>
      <c r="E43" s="30">
        <f t="shared" si="1"/>
        <v>41</v>
      </c>
      <c r="F43" s="30">
        <f>IF(ISBLANK(B43),"",VLOOKUP(B43,Overall!$B$4:$AR$75,37,FALSE))</f>
        <v>275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26</v>
      </c>
      <c r="AB43" s="25">
        <v>64</v>
      </c>
      <c r="AC43" s="25" t="s">
        <v>0</v>
      </c>
      <c r="AD43" s="24" t="s">
        <v>191</v>
      </c>
      <c r="AE43" s="25">
        <v>26</v>
      </c>
      <c r="AF43" s="25">
        <v>162</v>
      </c>
    </row>
    <row r="44" spans="1:32" ht="15">
      <c r="A44" s="30">
        <v>42</v>
      </c>
      <c r="B44" s="30">
        <v>66</v>
      </c>
      <c r="C44" s="30" t="str">
        <f>IF(ISBLANK(B44),"",VLOOKUP(B44,Entries!$A$4:$C$70,2,FALSE))</f>
        <v>L</v>
      </c>
      <c r="D44" s="31" t="str">
        <f>IF(ISBLANK(B44),"",VLOOKUP(B44,Entries!$A$4:$C$70,3,FALSE))</f>
        <v>TGT Ladies A</v>
      </c>
      <c r="E44" s="30">
        <f t="shared" si="1"/>
        <v>42</v>
      </c>
      <c r="F44" s="30">
        <f>IF(ISBLANK(B44),"",VLOOKUP(B44,Overall!$B$4:$AR$75,37,FALSE))</f>
        <v>323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16</v>
      </c>
      <c r="AB44" s="25">
        <v>69</v>
      </c>
      <c r="AC44" s="25" t="s">
        <v>0</v>
      </c>
      <c r="AD44" s="24" t="s">
        <v>198</v>
      </c>
      <c r="AE44" s="25">
        <v>16</v>
      </c>
      <c r="AF44" s="25">
        <v>237</v>
      </c>
    </row>
    <row r="45" spans="1:32" ht="15">
      <c r="A45" s="30">
        <v>43</v>
      </c>
      <c r="B45" s="30">
        <v>63</v>
      </c>
      <c r="C45" s="30" t="str">
        <f>IF(ISBLANK(B45),"",VLOOKUP(B45,Entries!$A$4:$C$70,2,FALSE))</f>
        <v>L</v>
      </c>
      <c r="D45" s="31" t="str">
        <f>IF(ISBLANK(B45),"",VLOOKUP(B45,Entries!$A$4:$C$70,3,FALSE))</f>
        <v>Billericay Striders</v>
      </c>
      <c r="E45" s="30">
        <f t="shared" si="1"/>
        <v>43</v>
      </c>
      <c r="F45" s="30">
        <f>IF(ISBLANK(B45),"",VLOOKUP(B45,Overall!$B$4:$AR$75,37,FALSE))</f>
        <v>539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162</v>
      </c>
      <c r="AA45" s="25">
        <v>25</v>
      </c>
      <c r="AB45" s="25">
        <v>59</v>
      </c>
      <c r="AC45" s="25" t="s">
        <v>0</v>
      </c>
      <c r="AD45" s="24" t="s">
        <v>183</v>
      </c>
      <c r="AE45" s="25">
        <v>25</v>
      </c>
      <c r="AF45" s="25">
        <v>276</v>
      </c>
    </row>
    <row r="46" spans="1:32" ht="15">
      <c r="A46" s="30">
        <v>44</v>
      </c>
      <c r="B46" s="30">
        <v>11</v>
      </c>
      <c r="C46" s="30" t="str">
        <f>IF(ISBLANK(B46),"",VLOOKUP(B46,Entries!$A$4:$C$70,2,FALSE))</f>
        <v>A</v>
      </c>
      <c r="D46" s="31" t="str">
        <f>IF(ISBLANK(B46),"",VLOOKUP(B46,Entries!$A$4:$C$70,3,FALSE))</f>
        <v>Billericay Striders</v>
      </c>
      <c r="E46" s="30">
        <f t="shared" si="1"/>
        <v>44</v>
      </c>
      <c r="F46" s="30">
        <f>IF(ISBLANK(B46),"",VLOOKUP(B46,Overall!$B$4:$AR$75,37,FALSE))</f>
        <v>537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69</v>
      </c>
      <c r="J46" s="31" t="s">
        <v>198</v>
      </c>
      <c r="K46" s="30">
        <v>237</v>
      </c>
      <c r="AA46" s="25">
        <v>17</v>
      </c>
      <c r="AB46" s="25">
        <v>57</v>
      </c>
      <c r="AC46" s="25" t="s">
        <v>0</v>
      </c>
      <c r="AD46" s="24" t="s">
        <v>181</v>
      </c>
      <c r="AE46" s="25">
        <v>17</v>
      </c>
      <c r="AF46" s="25">
        <v>281</v>
      </c>
    </row>
    <row r="47" spans="1:32" ht="15">
      <c r="A47" s="30">
        <v>45</v>
      </c>
      <c r="B47" s="30">
        <v>41</v>
      </c>
      <c r="C47" s="30" t="str">
        <f>IF(ISBLANK(B47),"",VLOOKUP(B47,Entries!$A$4:$C$70,2,FALSE))</f>
        <v>A</v>
      </c>
      <c r="D47" s="31" t="str">
        <f>IF(ISBLANK(B47),"",VLOOKUP(B47,Entries!$A$4:$C$70,3,FALSE))</f>
        <v>Pitsea RC Mixed</v>
      </c>
      <c r="E47" s="30">
        <f t="shared" si="1"/>
        <v>45</v>
      </c>
      <c r="F47" s="30">
        <f>IF(ISBLANK(B47),"",VLOOKUP(B47,Overall!$B$4:$AR$75,37,FALSE))</f>
        <v>493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59</v>
      </c>
      <c r="J47" s="31" t="s">
        <v>183</v>
      </c>
      <c r="K47" s="30">
        <v>276</v>
      </c>
      <c r="AA47" s="25">
        <v>29</v>
      </c>
      <c r="AB47" s="25">
        <v>62</v>
      </c>
      <c r="AC47" s="25" t="s">
        <v>0</v>
      </c>
      <c r="AD47" s="24" t="s">
        <v>188</v>
      </c>
      <c r="AE47" s="25">
        <v>29</v>
      </c>
      <c r="AF47" s="25">
        <v>281</v>
      </c>
    </row>
    <row r="48" spans="1:32" ht="15">
      <c r="A48" s="30">
        <v>46</v>
      </c>
      <c r="B48" s="30">
        <v>52</v>
      </c>
      <c r="C48" s="30" t="str">
        <f>IF(ISBLANK(B48),"",VLOOKUP(B48,Entries!$A$4:$C$70,2,FALSE))</f>
        <v>V</v>
      </c>
      <c r="D48" s="31" t="str">
        <f>IF(ISBLANK(B48),"",VLOOKUP(B48,Entries!$A$4:$C$70,3,FALSE))</f>
        <v>TGT Vets</v>
      </c>
      <c r="E48" s="30">
        <f t="shared" si="1"/>
        <v>46</v>
      </c>
      <c r="F48" s="30">
        <f>IF(ISBLANK(B48),"",VLOOKUP(B48,Overall!$B$4:$AR$75,37,FALSE))</f>
        <v>362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57</v>
      </c>
      <c r="J48" s="31" t="s">
        <v>181</v>
      </c>
      <c r="K48" s="30">
        <v>281</v>
      </c>
      <c r="AA48" s="25">
        <v>30</v>
      </c>
      <c r="AB48" s="25">
        <v>65</v>
      </c>
      <c r="AC48" s="25" t="s">
        <v>0</v>
      </c>
      <c r="AD48" s="24" t="s">
        <v>192</v>
      </c>
      <c r="AE48" s="25">
        <v>30</v>
      </c>
      <c r="AF48" s="25">
        <v>299</v>
      </c>
    </row>
    <row r="49" spans="1:32" ht="15">
      <c r="A49" s="30">
        <v>47</v>
      </c>
      <c r="B49" s="30">
        <v>36</v>
      </c>
      <c r="C49" s="30" t="str">
        <f>IF(ISBLANK(B49),"",VLOOKUP(B49,Entries!$A$4:$C$70,2,FALSE))</f>
        <v>A</v>
      </c>
      <c r="D49" s="31" t="str">
        <f>IF(ISBLANK(B49),"",VLOOKUP(B49,Entries!$A$4:$C$70,3,FALSE))</f>
        <v>Springfield Striders Mixed A</v>
      </c>
      <c r="E49" s="30">
        <f t="shared" si="1"/>
        <v>47</v>
      </c>
      <c r="F49" s="30">
        <f>IF(ISBLANK(B49),"",VLOOKUP(B49,Overall!$B$4:$AR$75,37,FALSE))</f>
        <v>212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62</v>
      </c>
      <c r="J49" s="31" t="s">
        <v>188</v>
      </c>
      <c r="K49" s="30">
        <v>281</v>
      </c>
      <c r="AA49" s="25">
        <v>23</v>
      </c>
      <c r="AB49" s="25">
        <v>61</v>
      </c>
      <c r="AC49" s="25" t="s">
        <v>0</v>
      </c>
      <c r="AD49" s="24" t="s">
        <v>187</v>
      </c>
      <c r="AE49" s="25">
        <v>23</v>
      </c>
      <c r="AF49" s="25">
        <v>321</v>
      </c>
    </row>
    <row r="50" spans="1:32" ht="15">
      <c r="A50" s="30">
        <v>48</v>
      </c>
      <c r="B50" s="30">
        <v>60</v>
      </c>
      <c r="C50" s="30" t="str">
        <f>IF(ISBLANK(B50),"",VLOOKUP(B50,Entries!$A$4:$C$70,2,FALSE))</f>
        <v>L</v>
      </c>
      <c r="D50" s="31" t="str">
        <f>IF(ISBLANK(B50),"",VLOOKUP(B50,Entries!$A$4:$C$70,3,FALSE))</f>
        <v>Tiptree Ladies</v>
      </c>
      <c r="E50" s="30">
        <f t="shared" si="1"/>
        <v>48</v>
      </c>
      <c r="F50" s="30">
        <f>IF(ISBLANK(B50),"",VLOOKUP(B50,Overall!$B$4:$AR$75,37,FALSE))</f>
        <v>400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65</v>
      </c>
      <c r="J50" s="31" t="s">
        <v>192</v>
      </c>
      <c r="K50" s="30">
        <v>299</v>
      </c>
      <c r="AA50" s="25">
        <v>42</v>
      </c>
      <c r="AB50" s="25">
        <v>66</v>
      </c>
      <c r="AC50" s="25" t="s">
        <v>0</v>
      </c>
      <c r="AD50" s="24" t="s">
        <v>193</v>
      </c>
      <c r="AE50" s="25">
        <v>42</v>
      </c>
      <c r="AF50" s="25">
        <v>323</v>
      </c>
    </row>
    <row r="51" spans="1:32" ht="15">
      <c r="A51" s="30">
        <v>49</v>
      </c>
      <c r="B51" s="30">
        <v>4</v>
      </c>
      <c r="C51" s="30" t="str">
        <f>IF(ISBLANK(B51),"",VLOOKUP(B51,Entries!$A$4:$C$70,2,FALSE))</f>
        <v>A</v>
      </c>
      <c r="D51" s="31" t="str">
        <f>IF(ISBLANK(B51),"",VLOOKUP(B51,Entries!$A$4:$C$70,3,FALSE))</f>
        <v>Tiptree B</v>
      </c>
      <c r="E51" s="30">
        <f t="shared" si="1"/>
        <v>49</v>
      </c>
      <c r="F51" s="30">
        <f>IF(ISBLANK(B51),"",VLOOKUP(B51,Overall!$B$4:$AR$75,37,FALSE))</f>
        <v>629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61</v>
      </c>
      <c r="J51" s="31" t="s">
        <v>187</v>
      </c>
      <c r="K51" s="30">
        <v>321</v>
      </c>
      <c r="AA51" s="25">
        <v>27</v>
      </c>
      <c r="AB51" s="25">
        <v>70</v>
      </c>
      <c r="AC51" s="25" t="s">
        <v>0</v>
      </c>
      <c r="AD51" s="24" t="s">
        <v>199</v>
      </c>
      <c r="AE51" s="25">
        <v>27</v>
      </c>
      <c r="AF51" s="25">
        <v>333</v>
      </c>
    </row>
    <row r="52" spans="1:32" ht="15">
      <c r="A52" s="30">
        <v>50</v>
      </c>
      <c r="B52" s="30">
        <v>2</v>
      </c>
      <c r="C52" s="30" t="str">
        <f>IF(ISBLANK(B52),"",VLOOKUP(B52,Entries!$A$4:$C$70,2,FALSE))</f>
        <v>A</v>
      </c>
      <c r="D52" s="31" t="str">
        <f>IF(ISBLANK(B52),"",VLOOKUP(B52,Entries!$A$4:$C$70,3,FALSE))</f>
        <v>Thurrock Nomads A</v>
      </c>
      <c r="E52" s="30">
        <f t="shared" si="1"/>
        <v>50</v>
      </c>
      <c r="F52" s="30">
        <f>IF(ISBLANK(B52),"",VLOOKUP(B52,Overall!$B$4:$AR$75,37,FALSE))</f>
        <v>328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66</v>
      </c>
      <c r="J52" s="31" t="s">
        <v>193</v>
      </c>
      <c r="K52" s="30">
        <v>323</v>
      </c>
      <c r="AA52" s="25">
        <v>36</v>
      </c>
      <c r="AB52" s="25">
        <v>58</v>
      </c>
      <c r="AC52" s="25" t="s">
        <v>0</v>
      </c>
      <c r="AD52" s="24" t="s">
        <v>182</v>
      </c>
      <c r="AE52" s="25">
        <v>36</v>
      </c>
      <c r="AF52" s="25">
        <v>355</v>
      </c>
    </row>
    <row r="53" spans="1:32" ht="15">
      <c r="A53" s="30">
        <v>51</v>
      </c>
      <c r="B53" s="30">
        <v>39</v>
      </c>
      <c r="C53" s="30" t="str">
        <f>IF(ISBLANK(B53),"",VLOOKUP(B53,Entries!$A$4:$C$70,2,FALSE))</f>
        <v>A</v>
      </c>
      <c r="D53" s="31" t="str">
        <f>IF(ISBLANK(B53),"",VLOOKUP(B53,Entries!$A$4:$C$70,3,FALSE))</f>
        <v>Springfield Striders Mixed D</v>
      </c>
      <c r="E53" s="30">
        <f t="shared" si="1"/>
        <v>51</v>
      </c>
      <c r="F53" s="30">
        <f>IF(ISBLANK(B53),"",VLOOKUP(B53,Overall!$B$4:$AR$75,37,FALSE))</f>
        <v>656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70</v>
      </c>
      <c r="J53" s="31" t="s">
        <v>199</v>
      </c>
      <c r="K53" s="30">
        <v>333</v>
      </c>
      <c r="AA53" s="25">
        <v>48</v>
      </c>
      <c r="AB53" s="25">
        <v>60</v>
      </c>
      <c r="AC53" s="25" t="s">
        <v>0</v>
      </c>
      <c r="AD53" s="24" t="s">
        <v>184</v>
      </c>
      <c r="AE53" s="25">
        <v>48</v>
      </c>
      <c r="AF53" s="25">
        <v>400</v>
      </c>
    </row>
    <row r="54" spans="1:32" ht="15">
      <c r="A54" s="30">
        <v>52</v>
      </c>
      <c r="B54" s="30">
        <v>6</v>
      </c>
      <c r="C54" s="30" t="str">
        <f>IF(ISBLANK(B54),"",VLOOKUP(B54,Entries!$A$4:$C$70,2,FALSE))</f>
        <v>A</v>
      </c>
      <c r="D54" s="31" t="str">
        <f>IF(ISBLANK(B54),"",VLOOKUP(B54,Entries!$A$4:$C$70,3,FALSE))</f>
        <v>Thurrock Nomads B - The Z list</v>
      </c>
      <c r="E54" s="30">
        <f t="shared" si="1"/>
        <v>52</v>
      </c>
      <c r="F54" s="30">
        <f>IF(ISBLANK(B54),"",VLOOKUP(B54,Overall!$B$4:$AR$75,37,FALSE))</f>
        <v>329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58</v>
      </c>
      <c r="J54" s="31" t="s">
        <v>182</v>
      </c>
      <c r="K54" s="30">
        <v>355</v>
      </c>
      <c r="AA54" s="25">
        <v>56</v>
      </c>
      <c r="AB54" s="25">
        <v>68</v>
      </c>
      <c r="AC54" s="25" t="s">
        <v>0</v>
      </c>
      <c r="AD54" s="24" t="s">
        <v>197</v>
      </c>
      <c r="AE54" s="25">
        <v>56</v>
      </c>
      <c r="AF54" s="25">
        <v>440</v>
      </c>
    </row>
    <row r="55" spans="1:32" ht="15">
      <c r="A55" s="30">
        <v>53</v>
      </c>
      <c r="B55" s="30">
        <v>22</v>
      </c>
      <c r="C55" s="30" t="str">
        <f>IF(ISBLANK(B55),"",VLOOKUP(B55,Entries!$A$4:$C$70,2,FALSE))</f>
        <v>A</v>
      </c>
      <c r="D55" s="31" t="str">
        <f>IF(ISBLANK(B55),"",VLOOKUP(B55,Entries!$A$4:$C$70,3,FALSE))</f>
        <v>TGT Men B</v>
      </c>
      <c r="E55" s="30">
        <f t="shared" si="1"/>
        <v>53</v>
      </c>
      <c r="F55" s="30">
        <f>IF(ISBLANK(B55),"",VLOOKUP(B55,Overall!$B$4:$AR$75,37,FALSE))</f>
        <v>345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60</v>
      </c>
      <c r="J55" s="31" t="s">
        <v>184</v>
      </c>
      <c r="K55" s="30">
        <v>400</v>
      </c>
      <c r="AA55" s="25">
        <v>43</v>
      </c>
      <c r="AB55" s="25">
        <v>63</v>
      </c>
      <c r="AC55" s="25" t="s">
        <v>0</v>
      </c>
      <c r="AD55" s="24" t="s">
        <v>65</v>
      </c>
      <c r="AE55" s="25">
        <v>43</v>
      </c>
      <c r="AF55" s="25">
        <v>539</v>
      </c>
    </row>
    <row r="56" spans="1:32" ht="15">
      <c r="A56" s="30">
        <v>54</v>
      </c>
      <c r="B56" s="30">
        <v>51</v>
      </c>
      <c r="C56" s="30" t="str">
        <f>IF(ISBLANK(B56),"",VLOOKUP(B56,Entries!$A$4:$C$70,2,FALSE))</f>
        <v>V</v>
      </c>
      <c r="D56" s="31" t="str">
        <f>IF(ISBLANK(B56),"",VLOOKUP(B56,Entries!$A$4:$C$70,3,FALSE))</f>
        <v>Ilford Vets</v>
      </c>
      <c r="E56" s="30">
        <f aca="true" t="shared" si="2" ref="E56:E61">IF(ISBLANK(B56),"",A56)</f>
        <v>54</v>
      </c>
      <c r="F56" s="30">
        <f>IF(ISBLANK(B56),"",VLOOKUP(B56,Overall!$B$4:$AR$75,37,FALSE))</f>
        <v>278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68</v>
      </c>
      <c r="J56" s="31" t="s">
        <v>197</v>
      </c>
      <c r="K56" s="30">
        <v>440</v>
      </c>
      <c r="AA56" s="25">
        <v>35</v>
      </c>
      <c r="AB56" s="25">
        <v>67</v>
      </c>
      <c r="AC56" s="25" t="s">
        <v>0</v>
      </c>
      <c r="AD56" s="24" t="s">
        <v>196</v>
      </c>
      <c r="AE56" s="25">
        <v>35</v>
      </c>
      <c r="AF56" s="25">
        <v>574</v>
      </c>
    </row>
    <row r="57" spans="1:32" ht="15">
      <c r="A57" s="30">
        <v>55</v>
      </c>
      <c r="B57" s="30">
        <v>38</v>
      </c>
      <c r="C57" s="30" t="str">
        <f>IF(ISBLANK(B57),"",VLOOKUP(B57,Entries!$A$4:$C$70,2,FALSE))</f>
        <v>A</v>
      </c>
      <c r="D57" s="31" t="str">
        <f>IF(ISBLANK(B57),"",VLOOKUP(B57,Entries!$A$4:$C$70,3,FALSE))</f>
        <v>Springfield Striders Mixed C</v>
      </c>
      <c r="E57" s="30">
        <f t="shared" si="2"/>
        <v>55</v>
      </c>
      <c r="F57" s="30">
        <f>IF(ISBLANK(B57),"",VLOOKUP(B57,Overall!$B$4:$AR$75,37,FALSE))</f>
        <v>432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63</v>
      </c>
      <c r="J57" s="31" t="s">
        <v>65</v>
      </c>
      <c r="K57" s="30">
        <v>539</v>
      </c>
      <c r="AA57" s="25">
        <v>7</v>
      </c>
      <c r="AB57" s="25">
        <v>50</v>
      </c>
      <c r="AC57" s="25" t="s">
        <v>2</v>
      </c>
      <c r="AD57" s="24" t="s">
        <v>44</v>
      </c>
      <c r="AE57" s="25">
        <v>7</v>
      </c>
      <c r="AF57" s="25">
        <v>127</v>
      </c>
    </row>
    <row r="58" spans="1:32" ht="15">
      <c r="A58" s="30">
        <v>56</v>
      </c>
      <c r="B58" s="30">
        <v>68</v>
      </c>
      <c r="C58" s="30" t="str">
        <f>IF(ISBLANK(B58),"",VLOOKUP(B58,Entries!$A$4:$C$70,2,FALSE))</f>
        <v>L</v>
      </c>
      <c r="D58" s="31" t="str">
        <f>IF(ISBLANK(B58),"",VLOOKUP(B58,Entries!$A$4:$C$70,3,FALSE))</f>
        <v>Pitsea RC Ladies</v>
      </c>
      <c r="E58" s="30">
        <f t="shared" si="2"/>
        <v>56</v>
      </c>
      <c r="F58" s="30">
        <f>IF(ISBLANK(B58),"",VLOOKUP(B58,Overall!$B$4:$AR$75,37,FALSE))</f>
        <v>440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67</v>
      </c>
      <c r="J58" s="45" t="s">
        <v>196</v>
      </c>
      <c r="K58" s="44">
        <v>574</v>
      </c>
      <c r="AA58" s="25">
        <v>13</v>
      </c>
      <c r="AB58" s="25">
        <v>53</v>
      </c>
      <c r="AC58" s="25" t="s">
        <v>2</v>
      </c>
      <c r="AD58" s="24" t="s">
        <v>87</v>
      </c>
      <c r="AE58" s="25">
        <v>13</v>
      </c>
      <c r="AF58" s="25">
        <v>158</v>
      </c>
    </row>
    <row r="59" spans="1:32" ht="15">
      <c r="A59" s="30">
        <v>57</v>
      </c>
      <c r="B59" s="30">
        <v>20</v>
      </c>
      <c r="C59" s="30" t="str">
        <f>IF(ISBLANK(B59),"",VLOOKUP(B59,Entries!$A$4:$C$70,2,FALSE))</f>
        <v>A</v>
      </c>
      <c r="D59" s="31" t="str">
        <f>IF(ISBLANK(B59),"",VLOOKUP(B59,Entries!$A$4:$C$70,3,FALSE))</f>
        <v>BSRC</v>
      </c>
      <c r="E59" s="30">
        <f t="shared" si="2"/>
        <v>57</v>
      </c>
      <c r="F59" s="30">
        <f>IF(ISBLANK(B59),"",VLOOKUP(B59,Overall!$B$4:$AR$75,37,FALSE))</f>
        <v>402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54</v>
      </c>
      <c r="AB59" s="25">
        <v>51</v>
      </c>
      <c r="AC59" s="25" t="s">
        <v>2</v>
      </c>
      <c r="AD59" s="24" t="s">
        <v>178</v>
      </c>
      <c r="AE59" s="25">
        <v>54</v>
      </c>
      <c r="AF59" s="25">
        <v>278</v>
      </c>
    </row>
    <row r="60" spans="1:32" ht="15">
      <c r="A60" s="30">
        <v>58</v>
      </c>
      <c r="B60" s="30">
        <v>15</v>
      </c>
      <c r="C60" s="30" t="str">
        <f>IF(ISBLANK(B60),"",VLOOKUP(B60,Entries!$A$4:$C$70,2,FALSE))</f>
        <v>A</v>
      </c>
      <c r="D60" s="31" t="str">
        <f>IF(ISBLANK(B60),"",VLOOKUP(B60,Entries!$A$4:$C$70,3,FALSE))</f>
        <v>Havering 90 A</v>
      </c>
      <c r="E60" s="30">
        <f t="shared" si="2"/>
        <v>58</v>
      </c>
      <c r="F60" s="30">
        <f>IF(ISBLANK(B60),"",VLOOKUP(B60,Overall!$B$4:$AR$75,37,FALSE))</f>
        <v>454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8"/>
      <c r="J60" s="47"/>
      <c r="K60" s="48" t="s">
        <v>73</v>
      </c>
      <c r="AA60" s="25">
        <v>40</v>
      </c>
      <c r="AB60" s="25">
        <v>12</v>
      </c>
      <c r="AC60" s="25" t="s">
        <v>2</v>
      </c>
      <c r="AD60" s="24" t="s">
        <v>84</v>
      </c>
      <c r="AE60" s="25">
        <v>40</v>
      </c>
      <c r="AF60" s="25">
        <v>284</v>
      </c>
    </row>
    <row r="61" spans="1:32" ht="15">
      <c r="A61" s="30">
        <v>59</v>
      </c>
      <c r="B61" s="30">
        <v>3</v>
      </c>
      <c r="C61" s="30" t="str">
        <f>IF(ISBLANK(B61),"",VLOOKUP(B61,Entries!$A$4:$C$70,2,FALSE))</f>
        <v>A</v>
      </c>
      <c r="D61" s="31" t="str">
        <f>IF(ISBLANK(B61),"",VLOOKUP(B61,Entries!$A$4:$C$70,3,FALSE))</f>
        <v>Tiptree A</v>
      </c>
      <c r="E61" s="30">
        <f t="shared" si="2"/>
        <v>59</v>
      </c>
      <c r="F61" s="30">
        <f>IF(ISBLANK(B61),"",VLOOKUP(B61,Overall!$B$4:$AR$75,37,FALSE))</f>
        <v>405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127</v>
      </c>
      <c r="AA61" s="25">
        <v>46</v>
      </c>
      <c r="AB61" s="25">
        <v>52</v>
      </c>
      <c r="AC61" s="25" t="s">
        <v>2</v>
      </c>
      <c r="AD61" s="24" t="s">
        <v>179</v>
      </c>
      <c r="AE61" s="25">
        <v>46</v>
      </c>
      <c r="AF61" s="25">
        <v>362</v>
      </c>
    </row>
    <row r="62" spans="8:11" ht="15">
      <c r="H62" s="30">
        <v>2</v>
      </c>
      <c r="I62" s="30">
        <v>53</v>
      </c>
      <c r="J62" s="31" t="s">
        <v>87</v>
      </c>
      <c r="K62" s="30">
        <v>158</v>
      </c>
    </row>
    <row r="63" spans="8:11" ht="15">
      <c r="H63" s="30">
        <v>3</v>
      </c>
      <c r="I63" s="30">
        <v>51</v>
      </c>
      <c r="J63" s="31" t="s">
        <v>178</v>
      </c>
      <c r="K63" s="30">
        <v>278</v>
      </c>
    </row>
    <row r="64" spans="8:11" ht="15">
      <c r="H64" s="30">
        <v>4</v>
      </c>
      <c r="I64" s="30">
        <v>12</v>
      </c>
      <c r="J64" s="31" t="s">
        <v>84</v>
      </c>
      <c r="K64" s="30">
        <v>284</v>
      </c>
    </row>
    <row r="65" spans="8:11" ht="15">
      <c r="H65" s="30">
        <v>5</v>
      </c>
      <c r="I65" s="30">
        <v>52</v>
      </c>
      <c r="J65" s="31" t="s">
        <v>179</v>
      </c>
      <c r="K65" s="30">
        <v>362</v>
      </c>
    </row>
    <row r="66" spans="8:11" ht="15">
      <c r="H66" s="36"/>
      <c r="I66" s="36"/>
      <c r="J66" s="35"/>
      <c r="K66" s="36"/>
    </row>
    <row r="67" spans="8:11" ht="15">
      <c r="H67" s="36"/>
      <c r="I67" s="36"/>
      <c r="J67" s="35"/>
      <c r="K67" s="36"/>
    </row>
    <row r="68" spans="8:11" ht="15">
      <c r="H68" s="36"/>
      <c r="I68" s="36"/>
      <c r="J68" s="35"/>
      <c r="K68" s="36"/>
    </row>
    <row r="69" spans="8:11" ht="15">
      <c r="H69" s="36"/>
      <c r="I69" s="36"/>
      <c r="J69" s="35"/>
      <c r="K69" s="36"/>
    </row>
    <row r="70" spans="8:11" ht="15">
      <c r="H70" s="36"/>
      <c r="I70" s="36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6.140625" style="25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10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8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23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IF(ISBLANK(B3),"",VLOOKUP(B3,Overall!$B$4:$AR$75,41,FALSE))</f>
        <v>30</v>
      </c>
      <c r="H3" s="30">
        <v>1</v>
      </c>
      <c r="I3" s="30">
        <v>23</v>
      </c>
      <c r="J3" s="31" t="s">
        <v>81</v>
      </c>
      <c r="K3" s="30">
        <v>30</v>
      </c>
      <c r="AA3" s="25">
        <v>1</v>
      </c>
      <c r="AB3" s="25">
        <v>23</v>
      </c>
      <c r="AC3" s="25" t="s">
        <v>3</v>
      </c>
      <c r="AD3" s="24" t="s">
        <v>81</v>
      </c>
      <c r="AE3" s="25">
        <v>1</v>
      </c>
      <c r="AF3" s="25">
        <v>30</v>
      </c>
    </row>
    <row r="4" spans="1:32" ht="15">
      <c r="A4" s="30">
        <v>2</v>
      </c>
      <c r="B4" s="30">
        <v>24</v>
      </c>
      <c r="C4" s="30" t="str">
        <f>IF(ISBLANK(B4),"",VLOOKUP(B4,Entries!$A$4:$C$70,2,FALSE))</f>
        <v>A</v>
      </c>
      <c r="D4" s="31" t="str">
        <f>IF(ISBLANK(B4),"",VLOOKUP(B4,Entries!$A$4:$C$70,3,FALSE))</f>
        <v>Southend Men A</v>
      </c>
      <c r="E4" s="30">
        <f t="shared" si="0"/>
        <v>2</v>
      </c>
      <c r="F4" s="30">
        <f>IF(ISBLANK(B4),"",VLOOKUP(B4,Overall!$B$4:$AR$75,41,FALSE))</f>
        <v>79</v>
      </c>
      <c r="G4" s="25">
        <f>IF(ISBLANK($B3),"",IF($B4=$B3,"*",""))</f>
      </c>
      <c r="H4" s="30">
        <v>2</v>
      </c>
      <c r="I4" s="30">
        <v>28</v>
      </c>
      <c r="J4" s="31" t="s">
        <v>91</v>
      </c>
      <c r="K4" s="30">
        <v>52</v>
      </c>
      <c r="AA4" s="25">
        <v>13</v>
      </c>
      <c r="AB4" s="25">
        <v>28</v>
      </c>
      <c r="AC4" s="25" t="s">
        <v>3</v>
      </c>
      <c r="AD4" s="24" t="s">
        <v>91</v>
      </c>
      <c r="AE4" s="25">
        <v>13</v>
      </c>
      <c r="AF4" s="25">
        <v>52</v>
      </c>
    </row>
    <row r="5" spans="1:32" ht="15">
      <c r="A5" s="30">
        <v>3</v>
      </c>
      <c r="B5" s="30">
        <v>31</v>
      </c>
      <c r="C5" s="30" t="str">
        <f>IF(ISBLANK(B5),"",VLOOKUP(B5,Entries!$A$4:$C$70,2,FALSE))</f>
        <v>A</v>
      </c>
      <c r="D5" s="31" t="str">
        <f>IF(ISBLANK(B5),"",VLOOKUP(B5,Entries!$A$4:$C$70,3,FALSE))</f>
        <v>Springfield Striders Men B</v>
      </c>
      <c r="E5" s="30">
        <f t="shared" si="0"/>
        <v>3</v>
      </c>
      <c r="F5" s="30">
        <f>IF(ISBLANK(B5),"",VLOOKUP(B5,Overall!$B$4:$AR$75,41,FALSE))</f>
        <v>76</v>
      </c>
      <c r="G5" s="25">
        <f>IF(ISBLANK($B4),"",IF(OR($B5=$B4,$B5=$B3),"*",""))</f>
      </c>
      <c r="H5" s="30">
        <v>3</v>
      </c>
      <c r="I5" s="30">
        <v>17</v>
      </c>
      <c r="J5" s="31" t="s">
        <v>107</v>
      </c>
      <c r="K5" s="30">
        <v>58</v>
      </c>
      <c r="AA5" s="25">
        <v>6</v>
      </c>
      <c r="AB5" s="25">
        <v>17</v>
      </c>
      <c r="AC5" s="25" t="s">
        <v>3</v>
      </c>
      <c r="AD5" s="24" t="s">
        <v>107</v>
      </c>
      <c r="AE5" s="25">
        <v>6</v>
      </c>
      <c r="AF5" s="25">
        <v>58</v>
      </c>
    </row>
    <row r="6" spans="1:32" ht="15">
      <c r="A6" s="30">
        <v>4</v>
      </c>
      <c r="B6" s="30">
        <v>30</v>
      </c>
      <c r="C6" s="30" t="str">
        <f>IF(ISBLANK(B6),"",VLOOKUP(B6,Entries!$A$4:$C$70,2,FALSE))</f>
        <v>A</v>
      </c>
      <c r="D6" s="31" t="str">
        <f>IF(ISBLANK(B6),"",VLOOKUP(B6,Entries!$A$4:$C$70,3,FALSE))</f>
        <v>Witham Running Club</v>
      </c>
      <c r="E6" s="30">
        <f t="shared" si="0"/>
        <v>4</v>
      </c>
      <c r="F6" s="30">
        <f>IF(ISBLANK(B6),"",VLOOKUP(B6,Overall!$B$4:$AR$75,41,FALSE))</f>
        <v>376</v>
      </c>
      <c r="G6" s="25">
        <f>IF(ISBLANK($B5),"",IF(OR($B6=$B5,$B6=$B4,$B6=$B3),"*",""))</f>
      </c>
      <c r="H6" s="30">
        <v>4</v>
      </c>
      <c r="I6" s="30">
        <v>31</v>
      </c>
      <c r="J6" s="31" t="s">
        <v>101</v>
      </c>
      <c r="K6" s="30">
        <v>76</v>
      </c>
      <c r="AA6" s="25">
        <v>3</v>
      </c>
      <c r="AB6" s="25">
        <v>31</v>
      </c>
      <c r="AC6" s="25" t="s">
        <v>3</v>
      </c>
      <c r="AD6" s="24" t="s">
        <v>101</v>
      </c>
      <c r="AE6" s="25">
        <v>3</v>
      </c>
      <c r="AF6" s="25">
        <v>76</v>
      </c>
    </row>
    <row r="7" spans="1:32" ht="15">
      <c r="A7" s="30">
        <v>5</v>
      </c>
      <c r="B7" s="30">
        <v>21</v>
      </c>
      <c r="C7" s="30" t="str">
        <f>IF(ISBLANK(B7),"",VLOOKUP(B7,Entries!$A$4:$C$70,2,FALSE))</f>
        <v>A</v>
      </c>
      <c r="D7" s="31" t="str">
        <f>IF(ISBLANK(B7),"",VLOOKUP(B7,Entries!$A$4:$C$70,3,FALSE))</f>
        <v>TGT Men A</v>
      </c>
      <c r="E7" s="30">
        <f t="shared" si="0"/>
        <v>5</v>
      </c>
      <c r="F7" s="30">
        <f>IF(ISBLANK(B7),"",VLOOKUP(B7,Overall!$B$4:$AR$75,41,FALSE))</f>
        <v>93</v>
      </c>
      <c r="G7" s="25">
        <f>IF(ISBLANK($B6),"",IF(OR($B7=$B6,$B7=$B5,$B7=$B4,$B7=$B3),"*",""))</f>
      </c>
      <c r="H7" s="30">
        <v>5</v>
      </c>
      <c r="I7" s="30">
        <v>24</v>
      </c>
      <c r="J7" s="31" t="s">
        <v>157</v>
      </c>
      <c r="K7" s="30">
        <v>79</v>
      </c>
      <c r="AA7" s="25">
        <v>2</v>
      </c>
      <c r="AB7" s="25">
        <v>24</v>
      </c>
      <c r="AC7" s="25" t="s">
        <v>3</v>
      </c>
      <c r="AD7" s="24" t="s">
        <v>157</v>
      </c>
      <c r="AE7" s="25">
        <v>2</v>
      </c>
      <c r="AF7" s="25">
        <v>79</v>
      </c>
    </row>
    <row r="8" spans="1:32" ht="15">
      <c r="A8" s="30">
        <v>6</v>
      </c>
      <c r="B8" s="30">
        <v>17</v>
      </c>
      <c r="C8" s="30" t="str">
        <f>IF(ISBLANK(B8),"",VLOOKUP(B8,Entries!$A$4:$C$70,2,FALSE))</f>
        <v>A</v>
      </c>
      <c r="D8" s="31" t="str">
        <f>IF(ISBLANK(B8),"",VLOOKUP(B8,Entries!$A$4:$C$70,3,FALSE))</f>
        <v>Benfleet Men A</v>
      </c>
      <c r="E8" s="30">
        <f t="shared" si="0"/>
        <v>6</v>
      </c>
      <c r="F8" s="30">
        <f>IF(ISBLANK(B8),"",VLOOKUP(B8,Overall!$B$4:$AR$75,41,FALSE))</f>
        <v>58</v>
      </c>
      <c r="G8" s="25">
        <f>IF(ISBLANK($B7),"",IF(OR($B8=$B7,$B8=$B6,$B8=$B5,$B8=$B4,$B8=$B3),"*",""))</f>
      </c>
      <c r="H8" s="30">
        <v>6</v>
      </c>
      <c r="I8" s="30">
        <v>9</v>
      </c>
      <c r="J8" s="31" t="s">
        <v>135</v>
      </c>
      <c r="K8" s="30">
        <v>87</v>
      </c>
      <c r="AA8" s="25">
        <v>15</v>
      </c>
      <c r="AB8" s="25">
        <v>9</v>
      </c>
      <c r="AC8" s="25" t="s">
        <v>3</v>
      </c>
      <c r="AD8" s="24" t="s">
        <v>135</v>
      </c>
      <c r="AE8" s="25">
        <v>15</v>
      </c>
      <c r="AF8" s="25">
        <v>87</v>
      </c>
    </row>
    <row r="9" spans="1:32" ht="15">
      <c r="A9" s="30">
        <v>7</v>
      </c>
      <c r="B9" s="30">
        <v>5</v>
      </c>
      <c r="C9" s="30" t="str">
        <f>IF(ISBLANK(B9),"",VLOOKUP(B9,Entries!$A$4:$C$70,2,FALSE))</f>
        <v>A</v>
      </c>
      <c r="D9" s="31" t="str">
        <f>IF(ISBLANK(B9),"",VLOOKUP(B9,Entries!$A$4:$C$70,3,FALSE))</f>
        <v>Tiptree Men</v>
      </c>
      <c r="E9" s="30">
        <f t="shared" si="0"/>
        <v>7</v>
      </c>
      <c r="F9" s="30">
        <f>IF(ISBLANK(B9),"",VLOOKUP(B9,Overall!$B$4:$AR$75,41,FALSE))</f>
        <v>116</v>
      </c>
      <c r="G9" s="25">
        <f>IF(ISBLANK($B8),"",IF(OR($B9=$B8,$B9=$B7,$B9=$B6,$B9=$B5,$B9=$B4,$B9=$B3),"*",""))</f>
      </c>
      <c r="H9" s="30">
        <v>7</v>
      </c>
      <c r="I9" s="30">
        <v>21</v>
      </c>
      <c r="J9" s="31" t="s">
        <v>149</v>
      </c>
      <c r="K9" s="30">
        <v>93</v>
      </c>
      <c r="AA9" s="25">
        <v>5</v>
      </c>
      <c r="AB9" s="25">
        <v>21</v>
      </c>
      <c r="AC9" s="25" t="s">
        <v>3</v>
      </c>
      <c r="AD9" s="24" t="s">
        <v>149</v>
      </c>
      <c r="AE9" s="25">
        <v>5</v>
      </c>
      <c r="AF9" s="25">
        <v>93</v>
      </c>
    </row>
    <row r="10" spans="1:32" ht="15">
      <c r="A10" s="30">
        <v>8</v>
      </c>
      <c r="B10" s="30">
        <v>50</v>
      </c>
      <c r="C10" s="30" t="str">
        <f>IF(ISBLANK(B10),"",VLOOKUP(B10,Entries!$A$4:$C$70,2,FALSE))</f>
        <v>V</v>
      </c>
      <c r="D10" s="31" t="str">
        <f>IF(ISBLANK(B10),"",VLOOKUP(B10,Entries!$A$4:$C$70,3,FALSE))</f>
        <v>Harwich Runners Vets</v>
      </c>
      <c r="E10" s="30">
        <f t="shared" si="0"/>
        <v>8</v>
      </c>
      <c r="F10" s="30">
        <f>IF(ISBLANK(B10),"",VLOOKUP(B10,Overall!$B$4:$AR$75,41,FALSE))</f>
        <v>135</v>
      </c>
      <c r="G10" s="25">
        <f>IF(ISBLANK($B9),"",IF(OR($B10=$B9,$B10=$B8,$B10=$B7,$B10=$B6,$B10=$B5,$B10=$B4,$B10=$B3),"*",""))</f>
      </c>
      <c r="H10" s="30">
        <v>8</v>
      </c>
      <c r="I10" s="30">
        <v>32</v>
      </c>
      <c r="J10" s="31" t="s">
        <v>163</v>
      </c>
      <c r="K10" s="30">
        <v>97</v>
      </c>
      <c r="AA10" s="25">
        <v>11</v>
      </c>
      <c r="AB10" s="25">
        <v>32</v>
      </c>
      <c r="AC10" s="25" t="s">
        <v>3</v>
      </c>
      <c r="AD10" s="24" t="s">
        <v>163</v>
      </c>
      <c r="AE10" s="25">
        <v>11</v>
      </c>
      <c r="AF10" s="25">
        <v>97</v>
      </c>
    </row>
    <row r="11" spans="1:32" ht="15">
      <c r="A11" s="30">
        <v>9</v>
      </c>
      <c r="B11" s="30">
        <v>25</v>
      </c>
      <c r="C11" s="30" t="str">
        <f>IF(ISBLANK(B11),"",VLOOKUP(B11,Entries!$A$4:$C$70,2,FALSE))</f>
        <v>A</v>
      </c>
      <c r="D11" s="31" t="str">
        <f>IF(ISBLANK(B11),"",VLOOKUP(B11,Entries!$A$4:$C$70,3,FALSE))</f>
        <v>Southend Men B</v>
      </c>
      <c r="E11" s="30">
        <f t="shared" si="0"/>
        <v>9</v>
      </c>
      <c r="F11" s="30">
        <f>IF(ISBLANK(B11),"",VLOOKUP(B11,Overall!$B$4:$AR$75,41,FALSE))</f>
        <v>202</v>
      </c>
      <c r="G11" s="25">
        <f>IF(ISBLANK($B10),"",IF(OR($B11=$B10,$B11=$B9,$B11=$B8,$B11=$B7,$B11=$B6,$B11=$B5,$B11=$B4,$B11=$B3),"*",""))</f>
      </c>
      <c r="H11" s="30">
        <v>9</v>
      </c>
      <c r="I11" s="30">
        <v>5</v>
      </c>
      <c r="J11" s="31" t="s">
        <v>124</v>
      </c>
      <c r="K11" s="30">
        <v>116</v>
      </c>
      <c r="AA11" s="25">
        <v>7</v>
      </c>
      <c r="AB11" s="25">
        <v>5</v>
      </c>
      <c r="AC11" s="25" t="s">
        <v>3</v>
      </c>
      <c r="AD11" s="24" t="s">
        <v>124</v>
      </c>
      <c r="AE11" s="25">
        <v>7</v>
      </c>
      <c r="AF11" s="25">
        <v>116</v>
      </c>
    </row>
    <row r="12" spans="1:32" ht="15">
      <c r="A12" s="30">
        <v>10</v>
      </c>
      <c r="B12" s="30">
        <v>26</v>
      </c>
      <c r="C12" s="30" t="str">
        <f>IF(ISBLANK(B12),"",VLOOKUP(B12,Entries!$A$4:$C$70,2,FALSE))</f>
        <v>A</v>
      </c>
      <c r="D12" s="31" t="str">
        <f>IF(ISBLANK(B12),"",VLOOKUP(B12,Entries!$A$4:$C$70,3,FALSE))</f>
        <v>Harwich Runners Men</v>
      </c>
      <c r="E12" s="30">
        <f t="shared" si="0"/>
        <v>10</v>
      </c>
      <c r="F12" s="30">
        <f>IF(ISBLANK(B12),"",VLOOKUP(B12,Overall!$B$4:$AR$75,41,FALSE))</f>
        <v>140</v>
      </c>
      <c r="G12" s="25">
        <f>IF(ISBLANK($B12),"",IF(OR($B12=$B11,$B12=$B10,$B12=$B9,$B12=$B8,$B12=$B7,$B12=$B6,$B12=$B5,$B12=$B4,$B12=$B3),"*",""))</f>
      </c>
      <c r="H12" s="30">
        <v>10</v>
      </c>
      <c r="I12" s="30">
        <v>26</v>
      </c>
      <c r="J12" s="31" t="s">
        <v>162</v>
      </c>
      <c r="K12" s="30">
        <v>140</v>
      </c>
      <c r="AA12" s="25">
        <v>10</v>
      </c>
      <c r="AB12" s="25">
        <v>26</v>
      </c>
      <c r="AC12" s="25" t="s">
        <v>3</v>
      </c>
      <c r="AD12" s="24" t="s">
        <v>162</v>
      </c>
      <c r="AE12" s="25">
        <v>10</v>
      </c>
      <c r="AF12" s="25">
        <v>140</v>
      </c>
    </row>
    <row r="13" spans="1:32" ht="15">
      <c r="A13" s="30">
        <v>11</v>
      </c>
      <c r="B13" s="30">
        <v>32</v>
      </c>
      <c r="C13" s="30" t="str">
        <f>IF(ISBLANK(B13),"",VLOOKUP(B13,Entries!$A$4:$C$70,2,FALSE))</f>
        <v>A</v>
      </c>
      <c r="D13" s="31" t="str">
        <f>IF(ISBLANK(B13),"",VLOOKUP(B13,Entries!$A$4:$C$70,3,FALSE))</f>
        <v>Grange Farm A</v>
      </c>
      <c r="E13" s="30">
        <f t="shared" si="0"/>
        <v>11</v>
      </c>
      <c r="F13" s="30">
        <f>IF(ISBLANK(B13),"",VLOOKUP(B13,Overall!$B$4:$AR$75,41,FALSE))</f>
        <v>97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18</v>
      </c>
      <c r="J13" s="31" t="s">
        <v>109</v>
      </c>
      <c r="K13" s="30">
        <v>145</v>
      </c>
      <c r="AA13" s="25">
        <v>20</v>
      </c>
      <c r="AB13" s="25">
        <v>18</v>
      </c>
      <c r="AC13" s="25" t="s">
        <v>3</v>
      </c>
      <c r="AD13" s="24" t="s">
        <v>109</v>
      </c>
      <c r="AE13" s="25">
        <v>20</v>
      </c>
      <c r="AF13" s="25">
        <v>145</v>
      </c>
    </row>
    <row r="14" spans="1:32" ht="15">
      <c r="A14" s="30">
        <v>12</v>
      </c>
      <c r="B14" s="30">
        <v>40</v>
      </c>
      <c r="C14" s="30" t="str">
        <f>IF(ISBLANK(B14),"",VLOOKUP(B14,Entries!$A$4:$C$70,2,FALSE))</f>
        <v>A</v>
      </c>
      <c r="D14" s="31" t="str">
        <f>IF(ISBLANK(B14),"",VLOOKUP(B14,Entries!$A$4:$C$70,3,FALSE))</f>
        <v>Pitsea RC Men </v>
      </c>
      <c r="E14" s="30">
        <f t="shared" si="0"/>
        <v>12</v>
      </c>
      <c r="F14" s="30">
        <f>IF(ISBLANK(B14),"",VLOOKUP(B14,Overall!$B$4:$AR$75,41,FALSE))</f>
        <v>303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10</v>
      </c>
      <c r="J14" s="31" t="s">
        <v>136</v>
      </c>
      <c r="K14" s="30">
        <v>194</v>
      </c>
      <c r="AA14" s="25">
        <v>43</v>
      </c>
      <c r="AB14" s="25">
        <v>10</v>
      </c>
      <c r="AC14" s="25" t="s">
        <v>3</v>
      </c>
      <c r="AD14" s="24" t="s">
        <v>136</v>
      </c>
      <c r="AE14" s="25">
        <v>43</v>
      </c>
      <c r="AF14" s="25">
        <v>194</v>
      </c>
    </row>
    <row r="15" spans="1:32" ht="15">
      <c r="A15" s="30">
        <v>13</v>
      </c>
      <c r="B15" s="30">
        <v>28</v>
      </c>
      <c r="C15" s="30" t="str">
        <f>IF(ISBLANK(B15),"",VLOOKUP(B15,Entries!$A$4:$C$70,2,FALSE))</f>
        <v>A</v>
      </c>
      <c r="D15" s="31" t="str">
        <f>IF(ISBLANK(B15),"",VLOOKUP(B15,Entries!$A$4:$C$70,3,FALSE))</f>
        <v>Ilford A</v>
      </c>
      <c r="E15" s="30">
        <f t="shared" si="0"/>
        <v>13</v>
      </c>
      <c r="F15" s="30">
        <f>IF(ISBLANK(B15),"",VLOOKUP(B15,Overall!$B$4:$AR$75,41,FALSE))</f>
        <v>52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7</v>
      </c>
      <c r="J15" s="31" t="s">
        <v>129</v>
      </c>
      <c r="K15" s="30">
        <v>195</v>
      </c>
      <c r="AA15" s="25">
        <v>17</v>
      </c>
      <c r="AB15" s="25">
        <v>7</v>
      </c>
      <c r="AC15" s="25" t="s">
        <v>3</v>
      </c>
      <c r="AD15" s="24" t="s">
        <v>129</v>
      </c>
      <c r="AE15" s="25">
        <v>17</v>
      </c>
      <c r="AF15" s="25">
        <v>195</v>
      </c>
    </row>
    <row r="16" spans="1:32" ht="15">
      <c r="A16" s="30">
        <v>14</v>
      </c>
      <c r="B16" s="30">
        <v>27</v>
      </c>
      <c r="C16" s="30" t="str">
        <f>IF(ISBLANK(B16),"",VLOOKUP(B16,Entries!$A$4:$C$70,2,FALSE))</f>
        <v>A</v>
      </c>
      <c r="D16" s="31" t="str">
        <f>IF(ISBLANK(B16),"",VLOOKUP(B16,Entries!$A$4:$C$70,3,FALSE))</f>
        <v>Harwich Runners Mixed</v>
      </c>
      <c r="E16" s="30">
        <f t="shared" si="0"/>
        <v>14</v>
      </c>
      <c r="F16" s="30">
        <f>IF(ISBLANK(B16),"",VLOOKUP(B16,Overall!$B$4:$AR$75,41,FALSE))</f>
        <v>375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25</v>
      </c>
      <c r="J16" s="31" t="s">
        <v>160</v>
      </c>
      <c r="K16" s="30">
        <v>202</v>
      </c>
      <c r="AA16" s="25">
        <v>9</v>
      </c>
      <c r="AB16" s="25">
        <v>25</v>
      </c>
      <c r="AC16" s="25" t="s">
        <v>3</v>
      </c>
      <c r="AD16" s="24" t="s">
        <v>160</v>
      </c>
      <c r="AE16" s="25">
        <v>9</v>
      </c>
      <c r="AF16" s="25">
        <v>202</v>
      </c>
    </row>
    <row r="17" spans="1:32" ht="15">
      <c r="A17" s="30">
        <v>15</v>
      </c>
      <c r="B17" s="30">
        <v>9</v>
      </c>
      <c r="C17" s="30" t="str">
        <f>IF(ISBLANK(B17),"",VLOOKUP(B17,Entries!$A$4:$C$70,2,FALSE))</f>
        <v>A</v>
      </c>
      <c r="D17" s="31" t="str">
        <f>IF(ISBLANK(B17),"",VLOOKUP(B17,Entries!$A$4:$C$70,3,FALSE))</f>
        <v>Leigh on Sea Striders - I liked the Boys</v>
      </c>
      <c r="E17" s="30">
        <f t="shared" si="0"/>
        <v>15</v>
      </c>
      <c r="F17" s="30">
        <f>IF(ISBLANK(B17),"",VLOOKUP(B17,Overall!$B$4:$AR$75,41,FALSE))</f>
        <v>87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36</v>
      </c>
      <c r="J17" s="31" t="s">
        <v>102</v>
      </c>
      <c r="K17" s="30">
        <v>233</v>
      </c>
      <c r="AA17" s="25">
        <v>21</v>
      </c>
      <c r="AB17" s="25">
        <v>36</v>
      </c>
      <c r="AC17" s="25" t="s">
        <v>3</v>
      </c>
      <c r="AD17" s="24" t="s">
        <v>102</v>
      </c>
      <c r="AE17" s="25">
        <v>21</v>
      </c>
      <c r="AF17" s="25">
        <v>233</v>
      </c>
    </row>
    <row r="18" spans="1:32" ht="15">
      <c r="A18" s="30">
        <v>16</v>
      </c>
      <c r="B18" s="30">
        <v>35</v>
      </c>
      <c r="C18" s="30" t="str">
        <f>IF(ISBLANK(B18),"",VLOOKUP(B18,Entries!$A$4:$C$70,2,FALSE))</f>
        <v>A</v>
      </c>
      <c r="D18" s="31" t="str">
        <f>IF(ISBLANK(B18),"",VLOOKUP(B18,Entries!$A$4:$C$70,3,FALSE))</f>
        <v>Leigh on Sea Towels by Poolside</v>
      </c>
      <c r="E18" s="30">
        <f t="shared" si="0"/>
        <v>16</v>
      </c>
      <c r="F18" s="30">
        <f>IF(ISBLANK(B18),"",VLOOKUP(B18,Overall!$B$4:$AR$75,41,FALSE))</f>
        <v>402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13</v>
      </c>
      <c r="J18" s="31" t="s">
        <v>85</v>
      </c>
      <c r="K18" s="30">
        <v>249</v>
      </c>
      <c r="AA18" s="25">
        <v>40</v>
      </c>
      <c r="AB18" s="25">
        <v>13</v>
      </c>
      <c r="AC18" s="25" t="s">
        <v>3</v>
      </c>
      <c r="AD18" s="24" t="s">
        <v>85</v>
      </c>
      <c r="AE18" s="25">
        <v>40</v>
      </c>
      <c r="AF18" s="25">
        <v>249</v>
      </c>
    </row>
    <row r="19" spans="1:32" ht="15">
      <c r="A19" s="30">
        <v>17</v>
      </c>
      <c r="B19" s="30">
        <v>7</v>
      </c>
      <c r="C19" s="30" t="str">
        <f>IF(ISBLANK(B19),"",VLOOKUP(B19,Entries!$A$4:$C$70,2,FALSE))</f>
        <v>A</v>
      </c>
      <c r="D19" s="31" t="str">
        <f>IF(ISBLANK(B19),"",VLOOKUP(B19,Entries!$A$4:$C$70,3,FALSE))</f>
        <v>Halstead Road Runners</v>
      </c>
      <c r="E19" s="30">
        <f t="shared" si="0"/>
        <v>17</v>
      </c>
      <c r="F19" s="30">
        <f>IF(ISBLANK(B19),"",VLOOKUP(B19,Overall!$B$4:$AR$75,41,FALSE))</f>
        <v>195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33</v>
      </c>
      <c r="J19" s="31" t="s">
        <v>166</v>
      </c>
      <c r="K19" s="30">
        <v>271</v>
      </c>
      <c r="AA19" s="25">
        <v>28</v>
      </c>
      <c r="AB19" s="25">
        <v>33</v>
      </c>
      <c r="AC19" s="25" t="s">
        <v>3</v>
      </c>
      <c r="AD19" s="24" t="s">
        <v>166</v>
      </c>
      <c r="AE19" s="25">
        <v>28</v>
      </c>
      <c r="AF19" s="25">
        <v>271</v>
      </c>
    </row>
    <row r="20" spans="1:32" ht="15">
      <c r="A20" s="30">
        <v>18</v>
      </c>
      <c r="B20" s="30">
        <v>64</v>
      </c>
      <c r="C20" s="30" t="str">
        <f>IF(ISBLANK(B20),"",VLOOKUP(B20,Entries!$A$4:$C$70,2,FALSE))</f>
        <v>L</v>
      </c>
      <c r="D20" s="31" t="str">
        <f>IF(ISBLANK(B20),"",VLOOKUP(B20,Entries!$A$4:$C$70,3,FALSE))</f>
        <v>Benfleet Ladies A</v>
      </c>
      <c r="E20" s="30">
        <f t="shared" si="0"/>
        <v>18</v>
      </c>
      <c r="F20" s="30">
        <f>IF(ISBLANK(B20),"",VLOOKUP(B20,Overall!$B$4:$AR$75,41,FALSE))</f>
        <v>180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1</v>
      </c>
      <c r="J20" s="31" t="s">
        <v>117</v>
      </c>
      <c r="K20" s="30">
        <v>277</v>
      </c>
      <c r="AA20" s="25">
        <v>32</v>
      </c>
      <c r="AB20" s="25">
        <v>1</v>
      </c>
      <c r="AC20" s="25" t="s">
        <v>3</v>
      </c>
      <c r="AD20" s="24" t="s">
        <v>117</v>
      </c>
      <c r="AE20" s="25">
        <v>32</v>
      </c>
      <c r="AF20" s="25">
        <v>277</v>
      </c>
    </row>
    <row r="21" spans="1:32" ht="15">
      <c r="A21" s="30">
        <v>19</v>
      </c>
      <c r="B21" s="30">
        <v>3</v>
      </c>
      <c r="C21" s="30" t="str">
        <f>IF(ISBLANK(B21),"",VLOOKUP(B21,Entries!$A$4:$C$70,2,FALSE))</f>
        <v>A</v>
      </c>
      <c r="D21" s="31" t="str">
        <f>IF(ISBLANK(B21),"",VLOOKUP(B21,Entries!$A$4:$C$70,3,FALSE))</f>
        <v>Tiptree A</v>
      </c>
      <c r="E21" s="30">
        <f t="shared" si="0"/>
        <v>19</v>
      </c>
      <c r="F21" s="30">
        <f>IF(ISBLANK(B21),"",VLOOKUP(B21,Overall!$B$4:$AR$75,41,FALSE))</f>
        <v>424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40</v>
      </c>
      <c r="J21" s="31" t="s">
        <v>173</v>
      </c>
      <c r="K21" s="30">
        <v>303</v>
      </c>
      <c r="AA21" s="25">
        <v>12</v>
      </c>
      <c r="AB21" s="25">
        <v>40</v>
      </c>
      <c r="AC21" s="25" t="s">
        <v>3</v>
      </c>
      <c r="AD21" s="24" t="s">
        <v>173</v>
      </c>
      <c r="AE21" s="25">
        <v>12</v>
      </c>
      <c r="AF21" s="25">
        <v>303</v>
      </c>
    </row>
    <row r="22" spans="1:32" ht="15">
      <c r="A22" s="30">
        <v>20</v>
      </c>
      <c r="B22" s="30">
        <v>18</v>
      </c>
      <c r="C22" s="30" t="str">
        <f>IF(ISBLANK(B22),"",VLOOKUP(B22,Entries!$A$4:$C$70,2,FALSE))</f>
        <v>A</v>
      </c>
      <c r="D22" s="31" t="str">
        <f>IF(ISBLANK(B22),"",VLOOKUP(B22,Entries!$A$4:$C$70,3,FALSE))</f>
        <v>Benfleet Men B</v>
      </c>
      <c r="E22" s="30">
        <f t="shared" si="0"/>
        <v>20</v>
      </c>
      <c r="F22" s="30">
        <f>IF(ISBLANK(B22),"",VLOOKUP(B22,Overall!$B$4:$AR$75,41,FALSE))</f>
        <v>145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29</v>
      </c>
      <c r="J22" s="31" t="s">
        <v>92</v>
      </c>
      <c r="K22" s="30">
        <v>313</v>
      </c>
      <c r="AA22" s="25">
        <v>54</v>
      </c>
      <c r="AB22" s="25">
        <v>29</v>
      </c>
      <c r="AC22" s="25" t="s">
        <v>3</v>
      </c>
      <c r="AD22" s="24" t="s">
        <v>92</v>
      </c>
      <c r="AE22" s="25">
        <v>54</v>
      </c>
      <c r="AF22" s="25">
        <v>313</v>
      </c>
    </row>
    <row r="23" spans="1:32" ht="15">
      <c r="A23" s="30">
        <v>21</v>
      </c>
      <c r="B23" s="30">
        <v>36</v>
      </c>
      <c r="C23" s="30" t="str">
        <f>IF(ISBLANK(B23),"",VLOOKUP(B23,Entries!$A$4:$C$70,2,FALSE))</f>
        <v>A</v>
      </c>
      <c r="D23" s="31" t="str">
        <f>IF(ISBLANK(B23),"",VLOOKUP(B23,Entries!$A$4:$C$70,3,FALSE))</f>
        <v>Springfield Striders Mixed A</v>
      </c>
      <c r="E23" s="30">
        <f t="shared" si="0"/>
        <v>21</v>
      </c>
      <c r="F23" s="30">
        <f>IF(ISBLANK(B23),"",VLOOKUP(B23,Overall!$B$4:$AR$75,41,FALSE))</f>
        <v>233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37</v>
      </c>
      <c r="J23" s="31" t="s">
        <v>103</v>
      </c>
      <c r="K23" s="30">
        <v>330</v>
      </c>
      <c r="AA23" s="25">
        <v>55</v>
      </c>
      <c r="AB23" s="25">
        <v>37</v>
      </c>
      <c r="AC23" s="25" t="s">
        <v>3</v>
      </c>
      <c r="AD23" s="24" t="s">
        <v>103</v>
      </c>
      <c r="AE23" s="25">
        <v>55</v>
      </c>
      <c r="AF23" s="25">
        <v>330</v>
      </c>
    </row>
    <row r="24" spans="1:32" ht="15">
      <c r="A24" s="30">
        <v>22</v>
      </c>
      <c r="B24" s="30">
        <v>53</v>
      </c>
      <c r="C24" s="30" t="str">
        <f>IF(ISBLANK(B24),"",VLOOKUP(B24,Entries!$A$4:$C$70,2,FALSE))</f>
        <v>V</v>
      </c>
      <c r="D24" s="31" t="str">
        <f>IF(ISBLANK(B24),"",VLOOKUP(B24,Entries!$A$4:$C$70,3,FALSE))</f>
        <v>Springfield Striders Vets</v>
      </c>
      <c r="E24" s="30">
        <f t="shared" si="0"/>
        <v>22</v>
      </c>
      <c r="F24" s="30">
        <f>IF(ISBLANK(B24),"",VLOOKUP(B24,Overall!$B$4:$AR$75,41,FALSE))</f>
        <v>180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19</v>
      </c>
      <c r="J24" s="31" t="s">
        <v>110</v>
      </c>
      <c r="K24" s="30">
        <v>341</v>
      </c>
      <c r="AA24" s="25">
        <v>59</v>
      </c>
      <c r="AB24" s="25">
        <v>19</v>
      </c>
      <c r="AC24" s="25" t="s">
        <v>3</v>
      </c>
      <c r="AD24" s="24" t="s">
        <v>110</v>
      </c>
      <c r="AE24" s="25">
        <v>59</v>
      </c>
      <c r="AF24" s="25">
        <v>341</v>
      </c>
    </row>
    <row r="25" spans="1:32" ht="15">
      <c r="A25" s="30">
        <v>23</v>
      </c>
      <c r="B25" s="30">
        <v>57</v>
      </c>
      <c r="C25" s="30" t="str">
        <f>IF(ISBLANK(B25),"",VLOOKUP(B25,Entries!$A$4:$C$70,2,FALSE))</f>
        <v>L</v>
      </c>
      <c r="D25" s="31" t="str">
        <f>IF(ISBLANK(B25),"",VLOOKUP(B25,Entries!$A$4:$C$70,3,FALSE))</f>
        <v>Springfield Striders Ladies A</v>
      </c>
      <c r="E25" s="30">
        <f t="shared" si="0"/>
        <v>23</v>
      </c>
      <c r="F25" s="30">
        <f>IF(ISBLANK(B25),"",VLOOKUP(B25,Overall!$B$4:$AR$75,41,FALSE))</f>
        <v>304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8</v>
      </c>
      <c r="J25" s="31" t="s">
        <v>132</v>
      </c>
      <c r="K25" s="30">
        <v>350</v>
      </c>
      <c r="AA25" s="25">
        <v>31</v>
      </c>
      <c r="AB25" s="25">
        <v>8</v>
      </c>
      <c r="AC25" s="25" t="s">
        <v>3</v>
      </c>
      <c r="AD25" s="24" t="s">
        <v>132</v>
      </c>
      <c r="AE25" s="25">
        <v>31</v>
      </c>
      <c r="AF25" s="25">
        <v>350</v>
      </c>
    </row>
    <row r="26" spans="1:32" ht="15">
      <c r="A26" s="30">
        <v>24</v>
      </c>
      <c r="B26" s="30">
        <v>69</v>
      </c>
      <c r="C26" s="30" t="str">
        <f>IF(ISBLANK(B26),"",VLOOKUP(B26,Entries!$A$4:$C$70,2,FALSE))</f>
        <v>L</v>
      </c>
      <c r="D26" s="31" t="str">
        <f>IF(ISBLANK(B26),"",VLOOKUP(B26,Entries!$A$4:$C$70,3,FALSE))</f>
        <v>Southend Ladies</v>
      </c>
      <c r="E26" s="30">
        <f t="shared" si="0"/>
        <v>24</v>
      </c>
      <c r="F26" s="30">
        <f>IF(ISBLANK(B26),"",VLOOKUP(B26,Overall!$B$4:$AR$75,41,FALSE))</f>
        <v>261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14</v>
      </c>
      <c r="J26" s="31" t="s">
        <v>141</v>
      </c>
      <c r="K26" s="30">
        <v>367</v>
      </c>
      <c r="AA26" s="25">
        <v>44</v>
      </c>
      <c r="AB26" s="25">
        <v>14</v>
      </c>
      <c r="AC26" s="25" t="s">
        <v>3</v>
      </c>
      <c r="AD26" s="24" t="s">
        <v>141</v>
      </c>
      <c r="AE26" s="25">
        <v>44</v>
      </c>
      <c r="AF26" s="25">
        <v>367</v>
      </c>
    </row>
    <row r="27" spans="1:32" ht="15">
      <c r="A27" s="30">
        <v>25</v>
      </c>
      <c r="B27" s="30">
        <v>12</v>
      </c>
      <c r="C27" s="30" t="str">
        <f>IF(ISBLANK(B27),"",VLOOKUP(B27,Entries!$A$4:$C$70,2,FALSE))</f>
        <v>V</v>
      </c>
      <c r="D27" s="31" t="str">
        <f>IF(ISBLANK(B27),"",VLOOKUP(B27,Entries!$A$4:$C$70,3,FALSE))</f>
        <v>Mid Essex Casuals A</v>
      </c>
      <c r="E27" s="30">
        <f t="shared" si="0"/>
        <v>25</v>
      </c>
      <c r="F27" s="30">
        <f>IF(ISBLANK(B27),"",VLOOKUP(B27,Overall!$B$4:$AR$75,41,FALSE))</f>
        <v>309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27</v>
      </c>
      <c r="J27" s="31" t="s">
        <v>97</v>
      </c>
      <c r="K27" s="30">
        <v>375</v>
      </c>
      <c r="AA27" s="25">
        <v>14</v>
      </c>
      <c r="AB27" s="25">
        <v>27</v>
      </c>
      <c r="AC27" s="25" t="s">
        <v>3</v>
      </c>
      <c r="AD27" s="24" t="s">
        <v>97</v>
      </c>
      <c r="AE27" s="25">
        <v>14</v>
      </c>
      <c r="AF27" s="25">
        <v>375</v>
      </c>
    </row>
    <row r="28" spans="1:32" ht="15">
      <c r="A28" s="30">
        <v>26</v>
      </c>
      <c r="B28" s="30">
        <v>66</v>
      </c>
      <c r="C28" s="30" t="str">
        <f>IF(ISBLANK(B28),"",VLOOKUP(B28,Entries!$A$4:$C$70,2,FALSE))</f>
        <v>L</v>
      </c>
      <c r="D28" s="31" t="str">
        <f>IF(ISBLANK(B28),"",VLOOKUP(B28,Entries!$A$4:$C$70,3,FALSE))</f>
        <v>TGT Ladies A</v>
      </c>
      <c r="E28" s="30">
        <f t="shared" si="0"/>
        <v>26</v>
      </c>
      <c r="F28" s="30">
        <f>IF(ISBLANK(B28),"",VLOOKUP(B28,Overall!$B$4:$AR$75,41,FALSE))</f>
        <v>349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30</v>
      </c>
      <c r="J28" s="31" t="s">
        <v>100</v>
      </c>
      <c r="K28" s="30">
        <v>376</v>
      </c>
      <c r="AA28" s="25">
        <v>4</v>
      </c>
      <c r="AB28" s="25">
        <v>30</v>
      </c>
      <c r="AC28" s="25" t="s">
        <v>3</v>
      </c>
      <c r="AD28" s="24" t="s">
        <v>100</v>
      </c>
      <c r="AE28" s="25">
        <v>4</v>
      </c>
      <c r="AF28" s="25">
        <v>376</v>
      </c>
    </row>
    <row r="29" spans="1:32" ht="15">
      <c r="A29" s="30">
        <v>27</v>
      </c>
      <c r="B29" s="30">
        <v>61</v>
      </c>
      <c r="C29" s="30" t="str">
        <f>IF(ISBLANK(B29),"",VLOOKUP(B29,Entries!$A$4:$C$70,2,FALSE))</f>
        <v>L</v>
      </c>
      <c r="D29" s="31" t="str">
        <f>IF(ISBLANK(B29),"",VLOOKUP(B29,Entries!$A$4:$C$70,3,FALSE))</f>
        <v>East Essex Tri Women</v>
      </c>
      <c r="E29" s="30">
        <f t="shared" si="0"/>
        <v>27</v>
      </c>
      <c r="F29" s="30">
        <f>IF(ISBLANK(B29),"",VLOOKUP(B29,Overall!$B$4:$AR$75,41,FALSE))</f>
        <v>348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2</v>
      </c>
      <c r="J29" s="31" t="s">
        <v>98</v>
      </c>
      <c r="K29" s="30">
        <v>377</v>
      </c>
      <c r="AA29" s="25">
        <v>49</v>
      </c>
      <c r="AB29" s="25">
        <v>2</v>
      </c>
      <c r="AC29" s="25" t="s">
        <v>3</v>
      </c>
      <c r="AD29" s="24" t="s">
        <v>98</v>
      </c>
      <c r="AE29" s="25">
        <v>49</v>
      </c>
      <c r="AF29" s="25">
        <v>377</v>
      </c>
    </row>
    <row r="30" spans="1:32" ht="15">
      <c r="A30" s="30">
        <v>28</v>
      </c>
      <c r="B30" s="30">
        <v>33</v>
      </c>
      <c r="C30" s="30" t="str">
        <f>IF(ISBLANK(B30),"",VLOOKUP(B30,Entries!$A$4:$C$70,2,FALSE))</f>
        <v>A</v>
      </c>
      <c r="D30" s="31" t="str">
        <f>IF(ISBLANK(B30),"",VLOOKUP(B30,Entries!$A$4:$C$70,3,FALSE))</f>
        <v>Grange Farm B</v>
      </c>
      <c r="E30" s="30">
        <f t="shared" si="0"/>
        <v>28</v>
      </c>
      <c r="F30" s="30">
        <f>IF(ISBLANK(B30),"",VLOOKUP(B30,Overall!$B$4:$AR$75,41,FALSE))</f>
        <v>271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6</v>
      </c>
      <c r="J30" s="31" t="s">
        <v>127</v>
      </c>
      <c r="K30" s="30">
        <v>379</v>
      </c>
      <c r="AA30" s="25">
        <v>50</v>
      </c>
      <c r="AB30" s="25">
        <v>6</v>
      </c>
      <c r="AC30" s="25" t="s">
        <v>3</v>
      </c>
      <c r="AD30" s="24" t="s">
        <v>127</v>
      </c>
      <c r="AE30" s="25">
        <v>50</v>
      </c>
      <c r="AF30" s="25">
        <v>379</v>
      </c>
    </row>
    <row r="31" spans="1:32" ht="15">
      <c r="A31" s="30">
        <v>29</v>
      </c>
      <c r="B31" s="30">
        <v>62</v>
      </c>
      <c r="C31" s="30" t="str">
        <f>IF(ISBLANK(B31),"",VLOOKUP(B31,Entries!$A$4:$C$70,2,FALSE))</f>
        <v>L</v>
      </c>
      <c r="D31" s="31" t="str">
        <f>IF(ISBLANK(B31),"",VLOOKUP(B31,Entries!$A$4:$C$70,3,FALSE))</f>
        <v>Leigh on Sea - Weekend without Make up</v>
      </c>
      <c r="E31" s="30">
        <f t="shared" si="0"/>
        <v>29</v>
      </c>
      <c r="F31" s="30">
        <f>IF(ISBLANK(B31),"",VLOOKUP(B31,Overall!$B$4:$AR$75,41,FALSE))</f>
        <v>310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34</v>
      </c>
      <c r="J31" s="31" t="s">
        <v>167</v>
      </c>
      <c r="K31" s="30">
        <v>385</v>
      </c>
      <c r="AA31" s="25">
        <v>58</v>
      </c>
      <c r="AB31" s="25">
        <v>34</v>
      </c>
      <c r="AC31" s="25" t="s">
        <v>3</v>
      </c>
      <c r="AD31" s="24" t="s">
        <v>167</v>
      </c>
      <c r="AE31" s="25">
        <v>58</v>
      </c>
      <c r="AF31" s="25">
        <v>385</v>
      </c>
    </row>
    <row r="32" spans="1:32" ht="15">
      <c r="A32" s="30">
        <v>30</v>
      </c>
      <c r="B32" s="30">
        <v>52</v>
      </c>
      <c r="C32" s="30" t="str">
        <f>IF(ISBLANK(B32),"",VLOOKUP(B32,Entries!$A$4:$C$70,2,FALSE))</f>
        <v>V</v>
      </c>
      <c r="D32" s="31" t="str">
        <f>IF(ISBLANK(B32),"",VLOOKUP(B32,Entries!$A$4:$C$70,3,FALSE))</f>
        <v>TGT Vets</v>
      </c>
      <c r="E32" s="30">
        <f t="shared" si="0"/>
        <v>30</v>
      </c>
      <c r="F32" s="30">
        <f>IF(ISBLANK(B32),"",VLOOKUP(B32,Overall!$B$4:$AR$75,41,FALSE))</f>
        <v>392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22</v>
      </c>
      <c r="J32" s="31" t="s">
        <v>152</v>
      </c>
      <c r="K32" s="30">
        <v>396</v>
      </c>
      <c r="AA32" s="25">
        <v>51</v>
      </c>
      <c r="AB32" s="25">
        <v>22</v>
      </c>
      <c r="AC32" s="25" t="s">
        <v>3</v>
      </c>
      <c r="AD32" s="24" t="s">
        <v>152</v>
      </c>
      <c r="AE32" s="25">
        <v>51</v>
      </c>
      <c r="AF32" s="25">
        <v>396</v>
      </c>
    </row>
    <row r="33" spans="1:32" ht="15">
      <c r="A33" s="30">
        <v>31</v>
      </c>
      <c r="B33" s="30">
        <v>8</v>
      </c>
      <c r="C33" s="30" t="str">
        <f>IF(ISBLANK(B33),"",VLOOKUP(B33,Entries!$A$4:$C$70,2,FALSE))</f>
        <v>A</v>
      </c>
      <c r="D33" s="31" t="str">
        <f>IF(ISBLANK(B33),"",VLOOKUP(B33,Entries!$A$4:$C$70,3,FALSE))</f>
        <v>East Essex Tri Men</v>
      </c>
      <c r="E33" s="30">
        <f aca="true" t="shared" si="1" ref="E33:E55">IF(ISBLANK(B33),"",A33)</f>
        <v>31</v>
      </c>
      <c r="F33" s="30">
        <f>IF(ISBLANK(B33),"",VLOOKUP(B33,Overall!$B$4:$AR$75,41,FALSE))</f>
        <v>350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35</v>
      </c>
      <c r="J33" s="31" t="s">
        <v>168</v>
      </c>
      <c r="K33" s="30">
        <v>402</v>
      </c>
      <c r="AA33" s="25">
        <v>16</v>
      </c>
      <c r="AB33" s="25">
        <v>35</v>
      </c>
      <c r="AC33" s="25" t="s">
        <v>3</v>
      </c>
      <c r="AD33" s="24" t="s">
        <v>168</v>
      </c>
      <c r="AE33" s="25">
        <v>16</v>
      </c>
      <c r="AF33" s="25">
        <v>402</v>
      </c>
    </row>
    <row r="34" spans="1:32" ht="15">
      <c r="A34" s="30">
        <v>32</v>
      </c>
      <c r="B34" s="30">
        <v>1</v>
      </c>
      <c r="C34" s="30" t="str">
        <f>IF(ISBLANK(B34),"",VLOOKUP(B34,Entries!$A$4:$C$70,2,FALSE))</f>
        <v>A</v>
      </c>
      <c r="D34" s="31" t="str">
        <f>IF(ISBLANK(B34),"",VLOOKUP(B34,Entries!$A$4:$C$70,3,FALSE))</f>
        <v>Eton Manor AC</v>
      </c>
      <c r="E34" s="30">
        <f t="shared" si="1"/>
        <v>32</v>
      </c>
      <c r="F34" s="30">
        <f>IF(ISBLANK(B34),"",VLOOKUP(B34,Overall!$B$4:$AR$75,41,FALSE))</f>
        <v>277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3</v>
      </c>
      <c r="J34" s="31" t="s">
        <v>120</v>
      </c>
      <c r="K34" s="30">
        <v>424</v>
      </c>
      <c r="AA34" s="25">
        <v>19</v>
      </c>
      <c r="AB34" s="25">
        <v>3</v>
      </c>
      <c r="AC34" s="25" t="s">
        <v>3</v>
      </c>
      <c r="AD34" s="24" t="s">
        <v>120</v>
      </c>
      <c r="AE34" s="25">
        <v>19</v>
      </c>
      <c r="AF34" s="25">
        <v>424</v>
      </c>
    </row>
    <row r="35" spans="1:32" ht="15">
      <c r="A35" s="30">
        <v>33</v>
      </c>
      <c r="B35" s="30">
        <v>65</v>
      </c>
      <c r="C35" s="30" t="str">
        <f>IF(ISBLANK(B35),"",VLOOKUP(B35,Entries!$A$4:$C$70,2,FALSE))</f>
        <v>L</v>
      </c>
      <c r="D35" s="31" t="str">
        <f>IF(ISBLANK(B35),"",VLOOKUP(B35,Entries!$A$4:$C$70,3,FALSE))</f>
        <v>Benfleet Ladies B</v>
      </c>
      <c r="E35" s="30">
        <f t="shared" si="1"/>
        <v>33</v>
      </c>
      <c r="F35" s="30">
        <f>IF(ISBLANK(B35),"",VLOOKUP(B35,Overall!$B$4:$AR$75,41,FALSE))</f>
        <v>332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20</v>
      </c>
      <c r="J35" s="31" t="s">
        <v>145</v>
      </c>
      <c r="K35" s="30">
        <v>447</v>
      </c>
      <c r="AA35" s="25">
        <v>45</v>
      </c>
      <c r="AB35" s="25">
        <v>20</v>
      </c>
      <c r="AC35" s="25" t="s">
        <v>3</v>
      </c>
      <c r="AD35" s="24" t="s">
        <v>145</v>
      </c>
      <c r="AE35" s="25">
        <v>45</v>
      </c>
      <c r="AF35" s="25">
        <v>447</v>
      </c>
    </row>
    <row r="36" spans="1:32" ht="15">
      <c r="A36" s="30">
        <v>34</v>
      </c>
      <c r="B36" s="30">
        <v>11</v>
      </c>
      <c r="C36" s="30" t="str">
        <f>IF(ISBLANK(B36),"",VLOOKUP(B36,Entries!$A$4:$C$70,2,FALSE))</f>
        <v>A</v>
      </c>
      <c r="D36" s="31" t="str">
        <f>IF(ISBLANK(B36),"",VLOOKUP(B36,Entries!$A$4:$C$70,3,FALSE))</f>
        <v>Billericay Striders</v>
      </c>
      <c r="E36" s="30">
        <f t="shared" si="1"/>
        <v>34</v>
      </c>
      <c r="F36" s="30">
        <f>IF(ISBLANK(B36),"",VLOOKUP(B36,Overall!$B$4:$AR$75,41,FALSE))</f>
        <v>571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16</v>
      </c>
      <c r="J36" s="31" t="s">
        <v>143</v>
      </c>
      <c r="K36" s="30">
        <v>461</v>
      </c>
      <c r="AA36" s="25">
        <v>57</v>
      </c>
      <c r="AB36" s="25">
        <v>16</v>
      </c>
      <c r="AC36" s="25" t="s">
        <v>3</v>
      </c>
      <c r="AD36" s="24" t="s">
        <v>143</v>
      </c>
      <c r="AE36" s="25">
        <v>57</v>
      </c>
      <c r="AF36" s="25">
        <v>461</v>
      </c>
    </row>
    <row r="37" spans="1:32" ht="15">
      <c r="A37" s="30">
        <v>35</v>
      </c>
      <c r="B37" s="30">
        <v>63</v>
      </c>
      <c r="C37" s="30" t="str">
        <f>IF(ISBLANK(B37),"",VLOOKUP(B37,Entries!$A$4:$C$70,2,FALSE))</f>
        <v>L</v>
      </c>
      <c r="D37" s="31" t="str">
        <f>IF(ISBLANK(B37),"",VLOOKUP(B37,Entries!$A$4:$C$70,3,FALSE))</f>
        <v>Billericay Striders</v>
      </c>
      <c r="E37" s="30">
        <f t="shared" si="1"/>
        <v>35</v>
      </c>
      <c r="F37" s="30">
        <f>IF(ISBLANK(B37),"",VLOOKUP(B37,Overall!$B$4:$AR$75,41,FALSE))</f>
        <v>574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38</v>
      </c>
      <c r="J37" s="31" t="s">
        <v>104</v>
      </c>
      <c r="K37" s="30">
        <v>474</v>
      </c>
      <c r="AA37" s="25">
        <v>42</v>
      </c>
      <c r="AB37" s="25">
        <v>38</v>
      </c>
      <c r="AC37" s="25" t="s">
        <v>3</v>
      </c>
      <c r="AD37" s="24" t="s">
        <v>104</v>
      </c>
      <c r="AE37" s="25">
        <v>42</v>
      </c>
      <c r="AF37" s="25">
        <v>474</v>
      </c>
    </row>
    <row r="38" spans="1:32" ht="15">
      <c r="A38" s="30">
        <v>36</v>
      </c>
      <c r="B38" s="30">
        <v>70</v>
      </c>
      <c r="C38" s="30" t="str">
        <f>IF(ISBLANK(B38),"",VLOOKUP(B38,Entries!$A$4:$C$70,2,FALSE))</f>
        <v>L</v>
      </c>
      <c r="D38" s="31" t="str">
        <f>IF(ISBLANK(B38),"",VLOOKUP(B38,Entries!$A$4:$C$70,3,FALSE))</f>
        <v>Harwich Runners Ladies</v>
      </c>
      <c r="E38" s="30">
        <f t="shared" si="1"/>
        <v>36</v>
      </c>
      <c r="F38" s="30">
        <f>IF(ISBLANK(B38),"",VLOOKUP(B38,Overall!$B$4:$AR$75,41,FALSE))</f>
        <v>369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15</v>
      </c>
      <c r="J38" s="31" t="s">
        <v>142</v>
      </c>
      <c r="K38" s="30">
        <v>495</v>
      </c>
      <c r="AA38" s="25">
        <v>41</v>
      </c>
      <c r="AB38" s="25">
        <v>15</v>
      </c>
      <c r="AC38" s="25" t="s">
        <v>3</v>
      </c>
      <c r="AD38" s="24" t="s">
        <v>142</v>
      </c>
      <c r="AE38" s="25">
        <v>41</v>
      </c>
      <c r="AF38" s="25">
        <v>495</v>
      </c>
    </row>
    <row r="39" spans="1:32" ht="15">
      <c r="A39" s="30">
        <v>37</v>
      </c>
      <c r="B39" s="30">
        <v>59</v>
      </c>
      <c r="C39" s="30" t="str">
        <f>IF(ISBLANK(B39),"",VLOOKUP(B39,Entries!$A$4:$C$70,2,FALSE))</f>
        <v>L</v>
      </c>
      <c r="D39" s="31" t="str">
        <f>IF(ISBLANK(B39),"",VLOOKUP(B39,Entries!$A$4:$C$70,3,FALSE))</f>
        <v>Grange Farm Ladies</v>
      </c>
      <c r="E39" s="30">
        <f t="shared" si="1"/>
        <v>37</v>
      </c>
      <c r="F39" s="30">
        <f>IF(ISBLANK(B39),"",VLOOKUP(B39,Overall!$B$4:$AR$75,41,FALSE))</f>
        <v>313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41</v>
      </c>
      <c r="J39" s="31" t="s">
        <v>176</v>
      </c>
      <c r="K39" s="30">
        <v>532</v>
      </c>
      <c r="AA39" s="25">
        <v>39</v>
      </c>
      <c r="AB39" s="25">
        <v>41</v>
      </c>
      <c r="AC39" s="25" t="s">
        <v>3</v>
      </c>
      <c r="AD39" s="24" t="s">
        <v>176</v>
      </c>
      <c r="AE39" s="25">
        <v>39</v>
      </c>
      <c r="AF39" s="25">
        <v>532</v>
      </c>
    </row>
    <row r="40" spans="1:32" ht="15">
      <c r="A40" s="30">
        <v>38</v>
      </c>
      <c r="B40" s="30">
        <v>39</v>
      </c>
      <c r="C40" s="30" t="str">
        <f>IF(ISBLANK(B40),"",VLOOKUP(B40,Entries!$A$4:$C$70,2,FALSE))</f>
        <v>A</v>
      </c>
      <c r="D40" s="31" t="str">
        <f>IF(ISBLANK(B40),"",VLOOKUP(B40,Entries!$A$4:$C$70,3,FALSE))</f>
        <v>Springfield Striders Mixed D</v>
      </c>
      <c r="E40" s="30">
        <f t="shared" si="1"/>
        <v>38</v>
      </c>
      <c r="F40" s="30">
        <f>IF(ISBLANK(B40),"",VLOOKUP(B40,Overall!$B$4:$AR$75,41,FALSE))</f>
        <v>694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11</v>
      </c>
      <c r="J40" s="31" t="s">
        <v>65</v>
      </c>
      <c r="K40" s="30">
        <v>571</v>
      </c>
      <c r="AA40" s="25">
        <v>34</v>
      </c>
      <c r="AB40" s="25">
        <v>11</v>
      </c>
      <c r="AC40" s="25" t="s">
        <v>3</v>
      </c>
      <c r="AD40" s="24" t="s">
        <v>65</v>
      </c>
      <c r="AE40" s="25">
        <v>34</v>
      </c>
      <c r="AF40" s="25">
        <v>571</v>
      </c>
    </row>
    <row r="41" spans="1:32" ht="15">
      <c r="A41" s="30">
        <v>39</v>
      </c>
      <c r="B41" s="30">
        <v>41</v>
      </c>
      <c r="C41" s="30" t="str">
        <f>IF(ISBLANK(B41),"",VLOOKUP(B41,Entries!$A$4:$C$70,2,FALSE))</f>
        <v>A</v>
      </c>
      <c r="D41" s="31" t="str">
        <f>IF(ISBLANK(B41),"",VLOOKUP(B41,Entries!$A$4:$C$70,3,FALSE))</f>
        <v>Pitsea RC Mixed</v>
      </c>
      <c r="E41" s="30">
        <f t="shared" si="1"/>
        <v>39</v>
      </c>
      <c r="F41" s="30">
        <f>IF(ISBLANK(B41),"",VLOOKUP(B41,Overall!$B$4:$AR$75,41,FALSE))</f>
        <v>532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4</v>
      </c>
      <c r="J41" s="31" t="s">
        <v>123</v>
      </c>
      <c r="K41" s="30">
        <v>681</v>
      </c>
      <c r="AA41" s="25">
        <v>52</v>
      </c>
      <c r="AB41" s="25">
        <v>4</v>
      </c>
      <c r="AC41" s="25" t="s">
        <v>3</v>
      </c>
      <c r="AD41" s="24" t="s">
        <v>123</v>
      </c>
      <c r="AE41" s="25">
        <v>52</v>
      </c>
      <c r="AF41" s="25">
        <v>681</v>
      </c>
    </row>
    <row r="42" spans="1:32" ht="15">
      <c r="A42" s="30">
        <v>40</v>
      </c>
      <c r="B42" s="30">
        <v>13</v>
      </c>
      <c r="C42" s="30" t="str">
        <f>IF(ISBLANK(B42),"",VLOOKUP(B42,Entries!$A$4:$C$70,2,FALSE))</f>
        <v>A</v>
      </c>
      <c r="D42" s="31" t="str">
        <f>IF(ISBLANK(B42),"",VLOOKUP(B42,Entries!$A$4:$C$70,3,FALSE))</f>
        <v>Mid Essex Casuals B</v>
      </c>
      <c r="E42" s="30">
        <f t="shared" si="1"/>
        <v>40</v>
      </c>
      <c r="F42" s="30">
        <f>IF(ISBLANK(B42),"",VLOOKUP(B42,Overall!$B$4:$AR$75,41,FALSE))</f>
        <v>249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39</v>
      </c>
      <c r="J42" s="45" t="s">
        <v>105</v>
      </c>
      <c r="K42" s="44">
        <v>694</v>
      </c>
      <c r="AA42" s="25">
        <v>38</v>
      </c>
      <c r="AB42" s="25">
        <v>39</v>
      </c>
      <c r="AC42" s="25" t="s">
        <v>3</v>
      </c>
      <c r="AD42" s="24" t="s">
        <v>105</v>
      </c>
      <c r="AE42" s="25">
        <v>38</v>
      </c>
      <c r="AF42" s="25">
        <v>694</v>
      </c>
    </row>
    <row r="43" spans="1:32" ht="15">
      <c r="A43" s="30">
        <v>41</v>
      </c>
      <c r="B43" s="30">
        <v>15</v>
      </c>
      <c r="C43" s="30" t="str">
        <f>IF(ISBLANK(B43),"",VLOOKUP(B43,Entries!$A$4:$C$70,2,FALSE))</f>
        <v>A</v>
      </c>
      <c r="D43" s="31" t="str">
        <f>IF(ISBLANK(B43),"",VLOOKUP(B43,Entries!$A$4:$C$70,3,FALSE))</f>
        <v>Havering 90 A</v>
      </c>
      <c r="E43" s="30">
        <f t="shared" si="1"/>
        <v>41</v>
      </c>
      <c r="F43" s="30">
        <f>IF(ISBLANK(B43),"",VLOOKUP(B43,Overall!$B$4:$AR$75,41,FALSE))</f>
        <v>495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18</v>
      </c>
      <c r="AB43" s="25">
        <v>64</v>
      </c>
      <c r="AC43" s="25" t="s">
        <v>0</v>
      </c>
      <c r="AD43" s="24" t="s">
        <v>191</v>
      </c>
      <c r="AE43" s="25">
        <v>18</v>
      </c>
      <c r="AF43" s="25">
        <v>180</v>
      </c>
    </row>
    <row r="44" spans="1:32" ht="15">
      <c r="A44" s="30">
        <v>42</v>
      </c>
      <c r="B44" s="30">
        <v>38</v>
      </c>
      <c r="C44" s="30" t="str">
        <f>IF(ISBLANK(B44),"",VLOOKUP(B44,Entries!$A$4:$C$70,2,FALSE))</f>
        <v>A</v>
      </c>
      <c r="D44" s="31" t="str">
        <f>IF(ISBLANK(B44),"",VLOOKUP(B44,Entries!$A$4:$C$70,3,FALSE))</f>
        <v>Springfield Striders Mixed C</v>
      </c>
      <c r="E44" s="30">
        <f t="shared" si="1"/>
        <v>42</v>
      </c>
      <c r="F44" s="30">
        <f>IF(ISBLANK(B44),"",VLOOKUP(B44,Overall!$B$4:$AR$75,41,FALSE))</f>
        <v>474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24</v>
      </c>
      <c r="AB44" s="25">
        <v>69</v>
      </c>
      <c r="AC44" s="25" t="s">
        <v>0</v>
      </c>
      <c r="AD44" s="24" t="s">
        <v>198</v>
      </c>
      <c r="AE44" s="25">
        <v>24</v>
      </c>
      <c r="AF44" s="25">
        <v>261</v>
      </c>
    </row>
    <row r="45" spans="1:32" ht="15">
      <c r="A45" s="30">
        <v>43</v>
      </c>
      <c r="B45" s="30">
        <v>10</v>
      </c>
      <c r="C45" s="30" t="str">
        <f>IF(ISBLANK(B45),"",VLOOKUP(B45,Entries!$A$4:$C$70,2,FALSE))</f>
        <v>A</v>
      </c>
      <c r="D45" s="31" t="str">
        <f>IF(ISBLANK(B45),"",VLOOKUP(B45,Entries!$A$4:$C$70,3,FALSE))</f>
        <v>Colchester Harriers - Colchester Allsorts</v>
      </c>
      <c r="E45" s="30">
        <f t="shared" si="1"/>
        <v>43</v>
      </c>
      <c r="F45" s="30">
        <f>IF(ISBLANK(B45),"",VLOOKUP(B45,Overall!$B$4:$AR$75,41,FALSE))</f>
        <v>194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180</v>
      </c>
      <c r="AA45" s="25">
        <v>23</v>
      </c>
      <c r="AB45" s="25">
        <v>57</v>
      </c>
      <c r="AC45" s="25" t="s">
        <v>0</v>
      </c>
      <c r="AD45" s="24" t="s">
        <v>181</v>
      </c>
      <c r="AE45" s="25">
        <v>23</v>
      </c>
      <c r="AF45" s="25">
        <v>304</v>
      </c>
    </row>
    <row r="46" spans="1:32" ht="15">
      <c r="A46" s="30">
        <v>44</v>
      </c>
      <c r="B46" s="30">
        <v>14</v>
      </c>
      <c r="C46" s="30" t="str">
        <f>IF(ISBLANK(B46),"",VLOOKUP(B46,Entries!$A$4:$C$70,2,FALSE))</f>
        <v>A</v>
      </c>
      <c r="D46" s="31" t="str">
        <f>IF(ISBLANK(B46),"",VLOOKUP(B46,Entries!$A$4:$C$70,3,FALSE))</f>
        <v>Mid Essex Casuals C</v>
      </c>
      <c r="E46" s="30">
        <f t="shared" si="1"/>
        <v>44</v>
      </c>
      <c r="F46" s="30">
        <f>IF(ISBLANK(B46),"",VLOOKUP(B46,Overall!$B$4:$AR$75,41,FALSE))</f>
        <v>367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69</v>
      </c>
      <c r="J46" s="31" t="s">
        <v>198</v>
      </c>
      <c r="K46" s="30">
        <v>261</v>
      </c>
      <c r="AA46" s="25">
        <v>29</v>
      </c>
      <c r="AB46" s="25">
        <v>62</v>
      </c>
      <c r="AC46" s="25" t="s">
        <v>0</v>
      </c>
      <c r="AD46" s="24" t="s">
        <v>188</v>
      </c>
      <c r="AE46" s="25">
        <v>29</v>
      </c>
      <c r="AF46" s="25">
        <v>310</v>
      </c>
    </row>
    <row r="47" spans="1:32" ht="15">
      <c r="A47" s="30">
        <v>45</v>
      </c>
      <c r="B47" s="30">
        <v>20</v>
      </c>
      <c r="C47" s="30" t="str">
        <f>IF(ISBLANK(B47),"",VLOOKUP(B47,Entries!$A$4:$C$70,2,FALSE))</f>
        <v>A</v>
      </c>
      <c r="D47" s="31" t="str">
        <f>IF(ISBLANK(B47),"",VLOOKUP(B47,Entries!$A$4:$C$70,3,FALSE))</f>
        <v>BSRC</v>
      </c>
      <c r="E47" s="30">
        <f t="shared" si="1"/>
        <v>45</v>
      </c>
      <c r="F47" s="30">
        <f>IF(ISBLANK(B47),"",VLOOKUP(B47,Overall!$B$4:$AR$75,41,FALSE))</f>
        <v>447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57</v>
      </c>
      <c r="J47" s="31" t="s">
        <v>181</v>
      </c>
      <c r="K47" s="30">
        <v>304</v>
      </c>
      <c r="AA47" s="25">
        <v>37</v>
      </c>
      <c r="AB47" s="25">
        <v>59</v>
      </c>
      <c r="AC47" s="25" t="s">
        <v>0</v>
      </c>
      <c r="AD47" s="24" t="s">
        <v>183</v>
      </c>
      <c r="AE47" s="25">
        <v>37</v>
      </c>
      <c r="AF47" s="25">
        <v>313</v>
      </c>
    </row>
    <row r="48" spans="1:32" ht="15">
      <c r="A48" s="30">
        <v>46</v>
      </c>
      <c r="B48" s="30">
        <v>67</v>
      </c>
      <c r="C48" s="30" t="str">
        <f>IF(ISBLANK(B48),"",VLOOKUP(B48,Entries!$A$4:$C$70,2,FALSE))</f>
        <v>L</v>
      </c>
      <c r="D48" s="31" t="str">
        <f>IF(ISBLANK(B48),"",VLOOKUP(B48,Entries!$A$4:$C$70,3,FALSE))</f>
        <v>TGT Ladies B</v>
      </c>
      <c r="E48" s="30">
        <f t="shared" si="1"/>
        <v>46</v>
      </c>
      <c r="F48" s="30">
        <f>IF(ISBLANK(B48),"",VLOOKUP(B48,Overall!$B$4:$AR$75,41,FALSE))</f>
        <v>620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62</v>
      </c>
      <c r="J48" s="31" t="s">
        <v>188</v>
      </c>
      <c r="K48" s="30">
        <v>310</v>
      </c>
      <c r="AA48" s="25">
        <v>33</v>
      </c>
      <c r="AB48" s="25">
        <v>65</v>
      </c>
      <c r="AC48" s="25" t="s">
        <v>0</v>
      </c>
      <c r="AD48" s="24" t="s">
        <v>192</v>
      </c>
      <c r="AE48" s="25">
        <v>33</v>
      </c>
      <c r="AF48" s="25">
        <v>332</v>
      </c>
    </row>
    <row r="49" spans="1:32" ht="15">
      <c r="A49" s="30">
        <v>47</v>
      </c>
      <c r="B49" s="30">
        <v>68</v>
      </c>
      <c r="C49" s="30" t="str">
        <f>IF(ISBLANK(B49),"",VLOOKUP(B49,Entries!$A$4:$C$70,2,FALSE))</f>
        <v>L</v>
      </c>
      <c r="D49" s="31" t="str">
        <f>IF(ISBLANK(B49),"",VLOOKUP(B49,Entries!$A$4:$C$70,3,FALSE))</f>
        <v>Pitsea RC Ladies</v>
      </c>
      <c r="E49" s="30">
        <f t="shared" si="1"/>
        <v>47</v>
      </c>
      <c r="F49" s="30">
        <f>IF(ISBLANK(B49),"",VLOOKUP(B49,Overall!$B$4:$AR$75,41,FALSE))</f>
        <v>487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59</v>
      </c>
      <c r="J49" s="31" t="s">
        <v>183</v>
      </c>
      <c r="K49" s="30">
        <v>313</v>
      </c>
      <c r="AA49" s="25">
        <v>27</v>
      </c>
      <c r="AB49" s="25">
        <v>61</v>
      </c>
      <c r="AC49" s="25" t="s">
        <v>0</v>
      </c>
      <c r="AD49" s="24" t="s">
        <v>187</v>
      </c>
      <c r="AE49" s="25">
        <v>27</v>
      </c>
      <c r="AF49" s="25">
        <v>348</v>
      </c>
    </row>
    <row r="50" spans="1:32" ht="15">
      <c r="A50" s="30">
        <v>48</v>
      </c>
      <c r="B50" s="30">
        <v>51</v>
      </c>
      <c r="C50" s="30" t="str">
        <f>IF(ISBLANK(B50),"",VLOOKUP(B50,Entries!$A$4:$C$70,2,FALSE))</f>
        <v>V</v>
      </c>
      <c r="D50" s="31" t="str">
        <f>IF(ISBLANK(B50),"",VLOOKUP(B50,Entries!$A$4:$C$70,3,FALSE))</f>
        <v>Ilford Vets</v>
      </c>
      <c r="E50" s="30">
        <f t="shared" si="1"/>
        <v>48</v>
      </c>
      <c r="F50" s="30">
        <f>IF(ISBLANK(B50),"",VLOOKUP(B50,Overall!$B$4:$AR$75,41,FALSE))</f>
        <v>326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65</v>
      </c>
      <c r="J50" s="31" t="s">
        <v>192</v>
      </c>
      <c r="K50" s="30">
        <v>332</v>
      </c>
      <c r="AA50" s="25">
        <v>26</v>
      </c>
      <c r="AB50" s="25">
        <v>66</v>
      </c>
      <c r="AC50" s="25" t="s">
        <v>0</v>
      </c>
      <c r="AD50" s="24" t="s">
        <v>193</v>
      </c>
      <c r="AE50" s="25">
        <v>26</v>
      </c>
      <c r="AF50" s="25">
        <v>349</v>
      </c>
    </row>
    <row r="51" spans="1:32" ht="15">
      <c r="A51" s="30">
        <v>49</v>
      </c>
      <c r="B51" s="30">
        <v>2</v>
      </c>
      <c r="C51" s="30" t="str">
        <f>IF(ISBLANK(B51),"",VLOOKUP(B51,Entries!$A$4:$C$70,2,FALSE))</f>
        <v>A</v>
      </c>
      <c r="D51" s="31" t="str">
        <f>IF(ISBLANK(B51),"",VLOOKUP(B51,Entries!$A$4:$C$70,3,FALSE))</f>
        <v>Thurrock Nomads A</v>
      </c>
      <c r="E51" s="30">
        <f t="shared" si="1"/>
        <v>49</v>
      </c>
      <c r="F51" s="30">
        <f>IF(ISBLANK(B51),"",VLOOKUP(B51,Overall!$B$4:$AR$75,41,FALSE))</f>
        <v>377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61</v>
      </c>
      <c r="J51" s="31" t="s">
        <v>187</v>
      </c>
      <c r="K51" s="30">
        <v>348</v>
      </c>
      <c r="AA51" s="25">
        <v>36</v>
      </c>
      <c r="AB51" s="25">
        <v>70</v>
      </c>
      <c r="AC51" s="25" t="s">
        <v>0</v>
      </c>
      <c r="AD51" s="24" t="s">
        <v>199</v>
      </c>
      <c r="AE51" s="25">
        <v>36</v>
      </c>
      <c r="AF51" s="25">
        <v>369</v>
      </c>
    </row>
    <row r="52" spans="1:32" ht="15">
      <c r="A52" s="30">
        <v>50</v>
      </c>
      <c r="B52" s="30">
        <v>6</v>
      </c>
      <c r="C52" s="30" t="str">
        <f>IF(ISBLANK(B52),"",VLOOKUP(B52,Entries!$A$4:$C$70,2,FALSE))</f>
        <v>A</v>
      </c>
      <c r="D52" s="31" t="str">
        <f>IF(ISBLANK(B52),"",VLOOKUP(B52,Entries!$A$4:$C$70,3,FALSE))</f>
        <v>Thurrock Nomads B - The Z list</v>
      </c>
      <c r="E52" s="30">
        <f t="shared" si="1"/>
        <v>50</v>
      </c>
      <c r="F52" s="30">
        <f>IF(ISBLANK(B52),"",VLOOKUP(B52,Overall!$B$4:$AR$75,41,FALSE))</f>
        <v>379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66</v>
      </c>
      <c r="J52" s="31" t="s">
        <v>193</v>
      </c>
      <c r="K52" s="30">
        <v>349</v>
      </c>
      <c r="AA52" s="25">
        <v>56</v>
      </c>
      <c r="AB52" s="25">
        <v>58</v>
      </c>
      <c r="AC52" s="25" t="s">
        <v>0</v>
      </c>
      <c r="AD52" s="24" t="s">
        <v>182</v>
      </c>
      <c r="AE52" s="25">
        <v>56</v>
      </c>
      <c r="AF52" s="25">
        <v>411</v>
      </c>
    </row>
    <row r="53" spans="1:32" ht="15">
      <c r="A53" s="30">
        <v>51</v>
      </c>
      <c r="B53" s="30">
        <v>22</v>
      </c>
      <c r="C53" s="30" t="str">
        <f>IF(ISBLANK(B53),"",VLOOKUP(B53,Entries!$A$4:$C$70,2,FALSE))</f>
        <v>A</v>
      </c>
      <c r="D53" s="31" t="str">
        <f>IF(ISBLANK(B53),"",VLOOKUP(B53,Entries!$A$4:$C$70,3,FALSE))</f>
        <v>TGT Men B</v>
      </c>
      <c r="E53" s="30">
        <f t="shared" si="1"/>
        <v>51</v>
      </c>
      <c r="F53" s="30">
        <f>IF(ISBLANK(B53),"",VLOOKUP(B53,Overall!$B$4:$AR$75,41,FALSE))</f>
        <v>396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70</v>
      </c>
      <c r="J53" s="31" t="s">
        <v>199</v>
      </c>
      <c r="K53" s="30">
        <v>369</v>
      </c>
      <c r="AA53" s="25">
        <v>53</v>
      </c>
      <c r="AB53" s="25">
        <v>60</v>
      </c>
      <c r="AC53" s="25" t="s">
        <v>0</v>
      </c>
      <c r="AD53" s="24" t="s">
        <v>184</v>
      </c>
      <c r="AE53" s="25">
        <v>53</v>
      </c>
      <c r="AF53" s="25">
        <v>453</v>
      </c>
    </row>
    <row r="54" spans="1:32" ht="15">
      <c r="A54" s="30">
        <v>52</v>
      </c>
      <c r="B54" s="30">
        <v>4</v>
      </c>
      <c r="C54" s="30" t="str">
        <f>IF(ISBLANK(B54),"",VLOOKUP(B54,Entries!$A$4:$C$70,2,FALSE))</f>
        <v>A</v>
      </c>
      <c r="D54" s="31" t="str">
        <f>IF(ISBLANK(B54),"",VLOOKUP(B54,Entries!$A$4:$C$70,3,FALSE))</f>
        <v>Tiptree B</v>
      </c>
      <c r="E54" s="30">
        <f t="shared" si="1"/>
        <v>52</v>
      </c>
      <c r="F54" s="30">
        <f>IF(ISBLANK(B54),"",VLOOKUP(B54,Overall!$B$4:$AR$75,41,FALSE))</f>
        <v>681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58</v>
      </c>
      <c r="J54" s="31" t="s">
        <v>182</v>
      </c>
      <c r="K54" s="30">
        <v>411</v>
      </c>
      <c r="AA54" s="25">
        <v>47</v>
      </c>
      <c r="AB54" s="25">
        <v>68</v>
      </c>
      <c r="AC54" s="25" t="s">
        <v>0</v>
      </c>
      <c r="AD54" s="24" t="s">
        <v>197</v>
      </c>
      <c r="AE54" s="25">
        <v>47</v>
      </c>
      <c r="AF54" s="25">
        <v>487</v>
      </c>
    </row>
    <row r="55" spans="1:32" ht="15">
      <c r="A55" s="30">
        <v>53</v>
      </c>
      <c r="B55" s="30">
        <v>60</v>
      </c>
      <c r="C55" s="30" t="str">
        <f>IF(ISBLANK(B55),"",VLOOKUP(B55,Entries!$A$4:$C$70,2,FALSE))</f>
        <v>L</v>
      </c>
      <c r="D55" s="31" t="str">
        <f>IF(ISBLANK(B55),"",VLOOKUP(B55,Entries!$A$4:$C$70,3,FALSE))</f>
        <v>Tiptree Ladies</v>
      </c>
      <c r="E55" s="30">
        <f t="shared" si="1"/>
        <v>53</v>
      </c>
      <c r="F55" s="30">
        <f>IF(ISBLANK(B55),"",VLOOKUP(B55,Overall!$B$4:$AR$75,41,FALSE))</f>
        <v>453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60</v>
      </c>
      <c r="J55" s="31" t="s">
        <v>184</v>
      </c>
      <c r="K55" s="30">
        <v>453</v>
      </c>
      <c r="AA55" s="25">
        <v>35</v>
      </c>
      <c r="AB55" s="25">
        <v>63</v>
      </c>
      <c r="AC55" s="25" t="s">
        <v>0</v>
      </c>
      <c r="AD55" s="24" t="s">
        <v>65</v>
      </c>
      <c r="AE55" s="25">
        <v>35</v>
      </c>
      <c r="AF55" s="25">
        <v>574</v>
      </c>
    </row>
    <row r="56" spans="1:32" ht="15">
      <c r="A56" s="30">
        <v>54</v>
      </c>
      <c r="B56" s="30">
        <v>29</v>
      </c>
      <c r="C56" s="30" t="str">
        <f>IF(ISBLANK(B56),"",VLOOKUP(B56,Entries!$A$4:$C$70,2,FALSE))</f>
        <v>A</v>
      </c>
      <c r="D56" s="31" t="str">
        <f>IF(ISBLANK(B56),"",VLOOKUP(B56,Entries!$A$4:$C$70,3,FALSE))</f>
        <v>Ilford B</v>
      </c>
      <c r="E56" s="30">
        <f aca="true" t="shared" si="2" ref="E56:E61">IF(ISBLANK(B56),"",A56)</f>
        <v>54</v>
      </c>
      <c r="F56" s="30">
        <f>IF(ISBLANK(B56),"",VLOOKUP(B56,Overall!$B$4:$AR$75,41,FALSE))</f>
        <v>313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68</v>
      </c>
      <c r="J56" s="31" t="s">
        <v>197</v>
      </c>
      <c r="K56" s="30">
        <v>487</v>
      </c>
      <c r="AA56" s="25">
        <v>46</v>
      </c>
      <c r="AB56" s="25">
        <v>67</v>
      </c>
      <c r="AC56" s="25" t="s">
        <v>0</v>
      </c>
      <c r="AD56" s="24" t="s">
        <v>196</v>
      </c>
      <c r="AE56" s="25">
        <v>46</v>
      </c>
      <c r="AF56" s="25">
        <v>620</v>
      </c>
    </row>
    <row r="57" spans="1:32" ht="15">
      <c r="A57" s="30">
        <v>55</v>
      </c>
      <c r="B57" s="30">
        <v>37</v>
      </c>
      <c r="C57" s="30" t="str">
        <f>IF(ISBLANK(B57),"",VLOOKUP(B57,Entries!$A$4:$C$70,2,FALSE))</f>
        <v>A</v>
      </c>
      <c r="D57" s="31" t="str">
        <f>IF(ISBLANK(B57),"",VLOOKUP(B57,Entries!$A$4:$C$70,3,FALSE))</f>
        <v>Springfield Striders Mixed B</v>
      </c>
      <c r="E57" s="30">
        <f t="shared" si="2"/>
        <v>55</v>
      </c>
      <c r="F57" s="30">
        <f>IF(ISBLANK(B57),"",VLOOKUP(B57,Overall!$B$4:$AR$75,41,FALSE))</f>
        <v>330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63</v>
      </c>
      <c r="J57" s="31" t="s">
        <v>65</v>
      </c>
      <c r="K57" s="30">
        <v>574</v>
      </c>
      <c r="AA57" s="25">
        <v>8</v>
      </c>
      <c r="AB57" s="25">
        <v>50</v>
      </c>
      <c r="AC57" s="25" t="s">
        <v>2</v>
      </c>
      <c r="AD57" s="24" t="s">
        <v>44</v>
      </c>
      <c r="AE57" s="25">
        <v>8</v>
      </c>
      <c r="AF57" s="25">
        <v>135</v>
      </c>
    </row>
    <row r="58" spans="1:32" ht="15">
      <c r="A58" s="30">
        <v>56</v>
      </c>
      <c r="B58" s="30">
        <v>58</v>
      </c>
      <c r="C58" s="30" t="str">
        <f>IF(ISBLANK(B58),"",VLOOKUP(B58,Entries!$A$4:$C$70,2,FALSE))</f>
        <v>L</v>
      </c>
      <c r="D58" s="31" t="str">
        <f>IF(ISBLANK(B58),"",VLOOKUP(B58,Entries!$A$4:$C$70,3,FALSE))</f>
        <v>Springfield Striders Ladies B</v>
      </c>
      <c r="E58" s="30">
        <f t="shared" si="2"/>
        <v>56</v>
      </c>
      <c r="F58" s="30">
        <f>IF(ISBLANK(B58),"",VLOOKUP(B58,Overall!$B$4:$AR$75,41,FALSE))</f>
        <v>411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67</v>
      </c>
      <c r="J58" s="45" t="s">
        <v>196</v>
      </c>
      <c r="K58" s="44">
        <v>620</v>
      </c>
      <c r="AA58" s="25">
        <v>22</v>
      </c>
      <c r="AB58" s="25">
        <v>53</v>
      </c>
      <c r="AC58" s="25" t="s">
        <v>2</v>
      </c>
      <c r="AD58" s="24" t="s">
        <v>87</v>
      </c>
      <c r="AE58" s="25">
        <v>22</v>
      </c>
      <c r="AF58" s="25">
        <v>180</v>
      </c>
    </row>
    <row r="59" spans="1:32" ht="15">
      <c r="A59" s="30">
        <v>57</v>
      </c>
      <c r="B59" s="30">
        <v>16</v>
      </c>
      <c r="C59" s="30" t="str">
        <f>IF(ISBLANK(B59),"",VLOOKUP(B59,Entries!$A$4:$C$70,2,FALSE))</f>
        <v>A</v>
      </c>
      <c r="D59" s="31" t="str">
        <f>IF(ISBLANK(B59),"",VLOOKUP(B59,Entries!$A$4:$C$70,3,FALSE))</f>
        <v>Havering 90 B</v>
      </c>
      <c r="E59" s="30">
        <f t="shared" si="2"/>
        <v>57</v>
      </c>
      <c r="F59" s="30">
        <f>IF(ISBLANK(B59),"",VLOOKUP(B59,Overall!$B$4:$AR$75,41,FALSE))</f>
        <v>461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25</v>
      </c>
      <c r="AB59" s="25">
        <v>12</v>
      </c>
      <c r="AC59" s="25" t="s">
        <v>2</v>
      </c>
      <c r="AD59" s="24" t="s">
        <v>84</v>
      </c>
      <c r="AE59" s="25">
        <v>25</v>
      </c>
      <c r="AF59" s="25">
        <v>309</v>
      </c>
    </row>
    <row r="60" spans="1:32" ht="15">
      <c r="A60" s="30">
        <v>58</v>
      </c>
      <c r="B60" s="30">
        <v>34</v>
      </c>
      <c r="C60" s="30" t="str">
        <f>IF(ISBLANK(B60),"",VLOOKUP(B60,Entries!$A$4:$C$70,2,FALSE))</f>
        <v>A</v>
      </c>
      <c r="D60" s="31" t="str">
        <f>IF(ISBLANK(B60),"",VLOOKUP(B60,Entries!$A$4:$C$70,3,FALSE))</f>
        <v>Grange Farm C</v>
      </c>
      <c r="E60" s="30">
        <f t="shared" si="2"/>
        <v>58</v>
      </c>
      <c r="F60" s="30">
        <f>IF(ISBLANK(B60),"",VLOOKUP(B60,Overall!$B$4:$AR$75,41,FALSE))</f>
        <v>385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8"/>
      <c r="J60" s="47"/>
      <c r="K60" s="48" t="s">
        <v>73</v>
      </c>
      <c r="AA60" s="25">
        <v>48</v>
      </c>
      <c r="AB60" s="25">
        <v>51</v>
      </c>
      <c r="AC60" s="25" t="s">
        <v>2</v>
      </c>
      <c r="AD60" s="24" t="s">
        <v>178</v>
      </c>
      <c r="AE60" s="25">
        <v>48</v>
      </c>
      <c r="AF60" s="25">
        <v>326</v>
      </c>
    </row>
    <row r="61" spans="1:32" ht="15">
      <c r="A61" s="30">
        <v>59</v>
      </c>
      <c r="B61" s="30">
        <v>19</v>
      </c>
      <c r="C61" s="30" t="str">
        <f>IF(ISBLANK(B61),"",VLOOKUP(B61,Entries!$A$4:$C$70,2,FALSE))</f>
        <v>A</v>
      </c>
      <c r="D61" s="31" t="str">
        <f>IF(ISBLANK(B61),"",VLOOKUP(B61,Entries!$A$4:$C$70,3,FALSE))</f>
        <v>Benfleet Men C</v>
      </c>
      <c r="E61" s="30">
        <f t="shared" si="2"/>
        <v>59</v>
      </c>
      <c r="F61" s="30">
        <f>IF(ISBLANK(B61),"",VLOOKUP(B61,Overall!$B$4:$AR$75,41,FALSE))</f>
        <v>341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135</v>
      </c>
      <c r="AA61" s="25">
        <v>30</v>
      </c>
      <c r="AB61" s="25">
        <v>52</v>
      </c>
      <c r="AC61" s="25" t="s">
        <v>2</v>
      </c>
      <c r="AD61" s="24" t="s">
        <v>179</v>
      </c>
      <c r="AE61" s="25">
        <v>30</v>
      </c>
      <c r="AF61" s="25">
        <v>392</v>
      </c>
    </row>
    <row r="62" spans="8:11" ht="15">
      <c r="H62" s="30">
        <v>2</v>
      </c>
      <c r="I62" s="30">
        <v>53</v>
      </c>
      <c r="J62" s="31" t="s">
        <v>87</v>
      </c>
      <c r="K62" s="30">
        <v>180</v>
      </c>
    </row>
    <row r="63" spans="8:11" ht="15">
      <c r="H63" s="30">
        <v>3</v>
      </c>
      <c r="I63" s="30">
        <v>12</v>
      </c>
      <c r="J63" s="31" t="s">
        <v>84</v>
      </c>
      <c r="K63" s="30">
        <v>309</v>
      </c>
    </row>
    <row r="64" spans="8:11" ht="15">
      <c r="H64" s="30">
        <v>4</v>
      </c>
      <c r="I64" s="30">
        <v>51</v>
      </c>
      <c r="J64" s="31" t="s">
        <v>178</v>
      </c>
      <c r="K64" s="30">
        <v>326</v>
      </c>
    </row>
    <row r="65" spans="8:11" ht="15">
      <c r="H65" s="30">
        <v>5</v>
      </c>
      <c r="I65" s="30">
        <v>52</v>
      </c>
      <c r="J65" s="31" t="s">
        <v>179</v>
      </c>
      <c r="K65" s="30">
        <v>392</v>
      </c>
    </row>
    <row r="66" spans="8:11" ht="15">
      <c r="H66" s="36"/>
      <c r="I66" s="36"/>
      <c r="J66" s="35"/>
      <c r="K66" s="36"/>
    </row>
    <row r="67" spans="8:11" ht="15">
      <c r="H67" s="36"/>
      <c r="I67" s="36"/>
      <c r="J67" s="35"/>
      <c r="K67" s="36"/>
    </row>
    <row r="68" spans="8:11" ht="15">
      <c r="H68" s="36"/>
      <c r="I68" s="36"/>
      <c r="J68" s="35"/>
      <c r="K68" s="36"/>
    </row>
    <row r="69" spans="8:11" ht="15">
      <c r="H69" s="36"/>
      <c r="I69" s="36"/>
      <c r="J69" s="35"/>
      <c r="K69" s="36"/>
    </row>
    <row r="70" spans="8:11" ht="15">
      <c r="H70" s="36"/>
      <c r="I70" s="36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B5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14.421875" style="0" bestFit="1" customWidth="1"/>
  </cols>
  <sheetData>
    <row r="1" spans="1:2" ht="12.75">
      <c r="A1" s="32" t="s">
        <v>74</v>
      </c>
      <c r="B1" s="32" t="s">
        <v>73</v>
      </c>
    </row>
    <row r="2" spans="1:2" ht="12.75">
      <c r="A2" t="s">
        <v>75</v>
      </c>
      <c r="B2" t="s">
        <v>76</v>
      </c>
    </row>
    <row r="3" spans="1:2" ht="12.75">
      <c r="A3" t="s">
        <v>77</v>
      </c>
      <c r="B3" t="s">
        <v>78</v>
      </c>
    </row>
    <row r="4" spans="1:2" ht="12.75">
      <c r="A4" t="s">
        <v>79</v>
      </c>
      <c r="B4">
        <v>100</v>
      </c>
    </row>
    <row r="5" spans="1:2" ht="12.75">
      <c r="A5" t="s">
        <v>80</v>
      </c>
      <c r="B5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E62"/>
  <sheetViews>
    <sheetView tabSelected="1" zoomScalePageLayoutView="0" workbookViewId="0" topLeftCell="A1">
      <pane xSplit="6" ySplit="3" topLeftCell="G5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52" sqref="G52"/>
    </sheetView>
  </sheetViews>
  <sheetFormatPr defaultColWidth="9.140625" defaultRowHeight="12.75"/>
  <cols>
    <col min="1" max="2" width="4.00390625" style="1" customWidth="1"/>
    <col min="3" max="3" width="40.421875" style="1" bestFit="1" customWidth="1"/>
    <col min="4" max="4" width="7.8515625" style="2" bestFit="1" customWidth="1"/>
    <col min="5" max="5" width="8.140625" style="2" bestFit="1" customWidth="1"/>
    <col min="6" max="6" width="8.28125" style="2" bestFit="1" customWidth="1"/>
    <col min="7" max="41" width="4.140625" style="2" customWidth="1"/>
    <col min="42" max="42" width="5.57421875" style="2" bestFit="1" customWidth="1"/>
    <col min="43" max="44" width="4.140625" style="2" customWidth="1"/>
    <col min="45" max="45" width="9.140625" style="1" customWidth="1"/>
    <col min="46" max="48" width="9.140625" style="2" customWidth="1"/>
    <col min="49" max="49" width="5.140625" style="2" customWidth="1"/>
    <col min="50" max="50" width="5.421875" style="2" customWidth="1"/>
    <col min="51" max="51" width="5.8515625" style="2" customWidth="1"/>
    <col min="52" max="16384" width="9.140625" style="1" customWidth="1"/>
  </cols>
  <sheetData>
    <row r="1" spans="1:57" ht="21">
      <c r="A1" s="74" t="str">
        <f>"ESSEX WAY "&amp;Entries!E1</f>
        <v>ESSEX WAY 2013</v>
      </c>
      <c r="B1" s="74"/>
      <c r="C1" s="74"/>
      <c r="BA1" s="1" t="s">
        <v>3</v>
      </c>
      <c r="BB1" s="1">
        <f>MATCH($BA1,$A$4:$A$100,0)+3</f>
        <v>4</v>
      </c>
      <c r="BC1" s="1">
        <f>MATCH($BA1,$A$4:$A$100,1)+3</f>
        <v>43</v>
      </c>
      <c r="BD1" s="1">
        <f>BC1-BB1+1</f>
        <v>40</v>
      </c>
      <c r="BE1" s="1">
        <f>BD1+BD2+BD3</f>
        <v>59</v>
      </c>
    </row>
    <row r="2" spans="4:56" ht="15.75">
      <c r="D2" s="68" t="s">
        <v>6</v>
      </c>
      <c r="E2" s="69"/>
      <c r="F2" s="73"/>
      <c r="G2" s="68" t="s">
        <v>13</v>
      </c>
      <c r="H2" s="73"/>
      <c r="I2" s="68" t="s">
        <v>14</v>
      </c>
      <c r="J2" s="69"/>
      <c r="K2" s="69"/>
      <c r="L2" s="73"/>
      <c r="M2" s="68" t="s">
        <v>15</v>
      </c>
      <c r="N2" s="69"/>
      <c r="O2" s="69"/>
      <c r="P2" s="73"/>
      <c r="Q2" s="68" t="s">
        <v>16</v>
      </c>
      <c r="R2" s="69"/>
      <c r="S2" s="69"/>
      <c r="T2" s="73"/>
      <c r="U2" s="68" t="s">
        <v>17</v>
      </c>
      <c r="V2" s="69"/>
      <c r="W2" s="69"/>
      <c r="X2" s="73"/>
      <c r="Y2" s="68" t="s">
        <v>18</v>
      </c>
      <c r="Z2" s="69"/>
      <c r="AA2" s="69"/>
      <c r="AB2" s="73"/>
      <c r="AC2" s="68" t="s">
        <v>19</v>
      </c>
      <c r="AD2" s="69"/>
      <c r="AE2" s="69"/>
      <c r="AF2" s="73"/>
      <c r="AG2" s="68" t="s">
        <v>20</v>
      </c>
      <c r="AH2" s="69"/>
      <c r="AI2" s="69"/>
      <c r="AJ2" s="73"/>
      <c r="AK2" s="68" t="s">
        <v>21</v>
      </c>
      <c r="AL2" s="69"/>
      <c r="AM2" s="69"/>
      <c r="AN2" s="73"/>
      <c r="AO2" s="68" t="s">
        <v>22</v>
      </c>
      <c r="AP2" s="69"/>
      <c r="AQ2" s="69"/>
      <c r="AR2" s="73"/>
      <c r="AT2" s="68" t="s">
        <v>6</v>
      </c>
      <c r="AU2" s="69"/>
      <c r="AV2" s="69"/>
      <c r="AW2" s="70" t="s">
        <v>12</v>
      </c>
      <c r="AX2" s="71"/>
      <c r="AY2" s="72"/>
      <c r="BA2" s="1" t="s">
        <v>0</v>
      </c>
      <c r="BB2" s="1">
        <f>MATCH($BA2,$A$4:$A$100,0)+3</f>
        <v>44</v>
      </c>
      <c r="BC2" s="1">
        <f>MATCH($BA2,$A$4:$A$100,1)+3</f>
        <v>57</v>
      </c>
      <c r="BD2" s="1">
        <f>BC2-BB2+1</f>
        <v>14</v>
      </c>
    </row>
    <row r="3" spans="1:56" s="3" customFormat="1" ht="15.75">
      <c r="A3" s="13" t="s">
        <v>4</v>
      </c>
      <c r="B3" s="13" t="s">
        <v>69</v>
      </c>
      <c r="C3" s="16" t="s">
        <v>5</v>
      </c>
      <c r="D3" s="10" t="s">
        <v>11</v>
      </c>
      <c r="E3" s="11" t="s">
        <v>8</v>
      </c>
      <c r="F3" s="12" t="s">
        <v>10</v>
      </c>
      <c r="G3" s="21" t="s">
        <v>9</v>
      </c>
      <c r="H3" s="23" t="s">
        <v>4</v>
      </c>
      <c r="I3" s="22" t="s">
        <v>9</v>
      </c>
      <c r="J3" s="22" t="s">
        <v>7</v>
      </c>
      <c r="K3" s="22" t="s">
        <v>4</v>
      </c>
      <c r="L3" s="23" t="s">
        <v>1</v>
      </c>
      <c r="M3" s="11" t="s">
        <v>9</v>
      </c>
      <c r="N3" s="11" t="s">
        <v>7</v>
      </c>
      <c r="O3" s="11" t="s">
        <v>4</v>
      </c>
      <c r="P3" s="12" t="s">
        <v>1</v>
      </c>
      <c r="Q3" s="11" t="s">
        <v>9</v>
      </c>
      <c r="R3" s="11" t="s">
        <v>7</v>
      </c>
      <c r="S3" s="11" t="s">
        <v>4</v>
      </c>
      <c r="T3" s="12" t="s">
        <v>1</v>
      </c>
      <c r="U3" s="11" t="s">
        <v>9</v>
      </c>
      <c r="V3" s="11" t="s">
        <v>7</v>
      </c>
      <c r="W3" s="11" t="s">
        <v>4</v>
      </c>
      <c r="X3" s="12" t="s">
        <v>1</v>
      </c>
      <c r="Y3" s="11" t="s">
        <v>9</v>
      </c>
      <c r="Z3" s="11" t="s">
        <v>7</v>
      </c>
      <c r="AA3" s="11" t="s">
        <v>4</v>
      </c>
      <c r="AB3" s="12" t="s">
        <v>1</v>
      </c>
      <c r="AC3" s="11" t="s">
        <v>9</v>
      </c>
      <c r="AD3" s="11" t="s">
        <v>7</v>
      </c>
      <c r="AE3" s="11" t="s">
        <v>4</v>
      </c>
      <c r="AF3" s="12" t="s">
        <v>1</v>
      </c>
      <c r="AG3" s="11" t="s">
        <v>9</v>
      </c>
      <c r="AH3" s="11" t="s">
        <v>7</v>
      </c>
      <c r="AI3" s="11" t="s">
        <v>4</v>
      </c>
      <c r="AJ3" s="12" t="s">
        <v>1</v>
      </c>
      <c r="AK3" s="11" t="s">
        <v>9</v>
      </c>
      <c r="AL3" s="11" t="s">
        <v>7</v>
      </c>
      <c r="AM3" s="11" t="s">
        <v>4</v>
      </c>
      <c r="AN3" s="12" t="s">
        <v>1</v>
      </c>
      <c r="AO3" s="11" t="s">
        <v>9</v>
      </c>
      <c r="AP3" s="11" t="s">
        <v>7</v>
      </c>
      <c r="AQ3" s="11" t="s">
        <v>4</v>
      </c>
      <c r="AR3" s="12" t="s">
        <v>1</v>
      </c>
      <c r="AT3" s="10" t="s">
        <v>11</v>
      </c>
      <c r="AU3" s="11" t="s">
        <v>8</v>
      </c>
      <c r="AV3" s="11" t="s">
        <v>10</v>
      </c>
      <c r="AW3" s="10" t="s">
        <v>23</v>
      </c>
      <c r="AX3" s="11" t="s">
        <v>24</v>
      </c>
      <c r="AY3" s="12" t="s">
        <v>25</v>
      </c>
      <c r="BA3" s="1" t="s">
        <v>2</v>
      </c>
      <c r="BB3" s="1">
        <f>MATCH($BA3,$A$4:$A$100,0)+3</f>
        <v>58</v>
      </c>
      <c r="BC3" s="1">
        <f>MATCH($BA3,$A$4:$A$100,1)+3</f>
        <v>62</v>
      </c>
      <c r="BD3" s="1">
        <f>BC3-BB3+1</f>
        <v>5</v>
      </c>
    </row>
    <row r="4" spans="1:51" ht="15.75">
      <c r="A4" s="17" t="s">
        <v>3</v>
      </c>
      <c r="B4" s="17">
        <v>23</v>
      </c>
      <c r="C4" s="40" t="str">
        <f>IF(ISBLANK(B4),"",VLOOKUP(B4,Entries!$A$4:$C$65,3,FALSE))</f>
        <v>Springfield Striders Men A</v>
      </c>
      <c r="D4" s="18">
        <f>IF(AT4=0,"",AT4)</f>
        <v>30</v>
      </c>
      <c r="E4" s="19">
        <f ca="1">IF(OR(ISBLANK(D4),D4=0,D4=""),"",RANK(D4,INDIRECT("D"&amp;VLOOKUP($A4,$BA$1:$BC$3,2,FALSE)&amp;":D"&amp;VLOOKUP($A4,$BA$1:$BC$3,3,FALSE)),1))</f>
        <v>1</v>
      </c>
      <c r="F4" s="19">
        <f>IF(OR(ISBLANK(D4),D4=0,D4=""),"",RANK(D4,$D$4:$D$100,1))</f>
        <v>1</v>
      </c>
      <c r="G4" s="4">
        <f ca="1">IF(ISNA(VLOOKUP($B4,INDIRECT("'"&amp;G$2&amp;"'!$B$3:$E$72"),4,FALSE)),"",VLOOKUP($B4,INDIRECT("'"&amp;G$2&amp;"'!$B$3:$E$72"),4,FALSE))</f>
        <v>1</v>
      </c>
      <c r="H4" s="19">
        <f ca="1">IF(G4="","",RANK(G4,INDIRECT("G"&amp;VLOOKUP($A4,$BA$1:$BC$3,2,FALSE)&amp;":G"&amp;VLOOKUP($A4,$BA$1:$BC$3,3,FALSE)),1))</f>
        <v>1</v>
      </c>
      <c r="I4" s="4">
        <f ca="1">IF(ISNA(VLOOKUP($B4,INDIRECT("'"&amp;I$2&amp;"'!$B$3:$E$72"),4,FALSE)),"",VLOOKUP($B4,INDIRECT("'"&amp;I$2&amp;"'!$B$3:$E$72"),4,FALSE))</f>
        <v>2</v>
      </c>
      <c r="J4" s="5">
        <f>IF(I4="","",G4+I4)</f>
        <v>3</v>
      </c>
      <c r="K4" s="19">
        <f ca="1">IF(J4="","",RANK(J4,INDIRECT("J"&amp;VLOOKUP($A4,$BA$1:$BC$3,2,FALSE)&amp;":J"&amp;VLOOKUP($A4,$BA$1:$BC$3,3,FALSE)),1))</f>
        <v>1</v>
      </c>
      <c r="L4" s="6">
        <f>IF(I4="","",RANK(J4,J$4:J$100,1))</f>
        <v>1</v>
      </c>
      <c r="M4" s="4">
        <f ca="1">IF(ISNA(VLOOKUP($B4,INDIRECT("'"&amp;M$2&amp;"'!$B$3:$E$72"),4,FALSE)),"",VLOOKUP($B4,INDIRECT("'"&amp;M$2&amp;"'!$B$3:$E$72"),4,FALSE))</f>
        <v>2</v>
      </c>
      <c r="N4" s="5">
        <f>IF(M4="","",M4+J4)</f>
        <v>5</v>
      </c>
      <c r="O4" s="19">
        <f ca="1">IF(N4="","",RANK(N4,INDIRECT("N"&amp;VLOOKUP($A4,$BA$1:$BC$3,2,FALSE)&amp;":N"&amp;VLOOKUP($A4,$BA$1:$BC$3,3,FALSE)),1))</f>
        <v>1</v>
      </c>
      <c r="P4" s="6">
        <f>IF(M4="","",RANK(N4,N$4:N$100,1))</f>
        <v>1</v>
      </c>
      <c r="Q4" s="4">
        <f ca="1">IF(ISNA(VLOOKUP($B4,INDIRECT("'"&amp;Q$2&amp;"'!$B$3:$E$72"),4,FALSE)),"",VLOOKUP($B4,INDIRECT("'"&amp;Q$2&amp;"'!$B$3:$E$72"),4,FALSE))</f>
        <v>3</v>
      </c>
      <c r="R4" s="5">
        <f>IF(Q4="","",Q4+N4)</f>
        <v>8</v>
      </c>
      <c r="S4" s="19">
        <f ca="1">IF(R4="","",RANK(R4,INDIRECT("R"&amp;VLOOKUP($A4,$BA$1:$BC$3,2,FALSE)&amp;":R"&amp;VLOOKUP($A4,$BA$1:$BC$3,3,FALSE)),1))</f>
        <v>1</v>
      </c>
      <c r="T4" s="6">
        <f>IF(Q4="","",RANK(R4,R$4:R$100,1))</f>
        <v>1</v>
      </c>
      <c r="U4" s="4">
        <f ca="1">IF(ISNA(VLOOKUP($B4,INDIRECT("'"&amp;U$2&amp;"'!$B$3:$E$72"),4,FALSE)),"",VLOOKUP($B4,INDIRECT("'"&amp;U$2&amp;"'!$B$3:$E$72"),4,FALSE))</f>
        <v>4</v>
      </c>
      <c r="V4" s="5">
        <f>IF(U4="","",U4+R4)</f>
        <v>12</v>
      </c>
      <c r="W4" s="19">
        <f ca="1">IF(V4="","",RANK(V4,INDIRECT("V"&amp;VLOOKUP($A4,$BA$1:$BC$3,2,FALSE)&amp;":V"&amp;VLOOKUP($A4,$BA$1:$BC$3,3,FALSE)),1))</f>
        <v>1</v>
      </c>
      <c r="X4" s="6">
        <f>IF(U4="","",RANK(V4,V$4:V$100,1))</f>
        <v>1</v>
      </c>
      <c r="Y4" s="4">
        <f ca="1">IF(ISNA(VLOOKUP($B4,INDIRECT("'"&amp;Y$2&amp;"'!$B$3:$E$72"),4,FALSE)),"",VLOOKUP($B4,INDIRECT("'"&amp;Y$2&amp;"'!$B$3:$E$72"),4,FALSE))</f>
        <v>1</v>
      </c>
      <c r="Z4" s="5">
        <f>IF(Y4="","",Y4+V4)</f>
        <v>13</v>
      </c>
      <c r="AA4" s="19">
        <f ca="1">IF(Z4="","",RANK(Z4,INDIRECT("Z"&amp;VLOOKUP($A4,$BA$1:$BC$3,2,FALSE)&amp;":Z"&amp;VLOOKUP($A4,$BA$1:$BC$3,3,FALSE)),1))</f>
        <v>1</v>
      </c>
      <c r="AB4" s="6">
        <f>IF(Y4="","",RANK(Z4,Z$4:Z$100,1))</f>
        <v>1</v>
      </c>
      <c r="AC4" s="4">
        <f ca="1">IF(ISNA(VLOOKUP($B4,INDIRECT("'"&amp;AC$2&amp;"'!$B$3:$E$72"),4,FALSE)),"",VLOOKUP($B4,INDIRECT("'"&amp;AC$2&amp;"'!$B$3:$E$72"),4,FALSE))</f>
        <v>2</v>
      </c>
      <c r="AD4" s="5">
        <f>IF(AC4="","",AC4+Z4)</f>
        <v>15</v>
      </c>
      <c r="AE4" s="19">
        <f ca="1">IF(AD4="","",RANK(AD4,INDIRECT("AD"&amp;VLOOKUP($A4,$BA$1:$BC$3,2,FALSE)&amp;":AD"&amp;VLOOKUP($A4,$BA$1:$BC$3,3,FALSE)),1))</f>
        <v>1</v>
      </c>
      <c r="AF4" s="6">
        <f>IF(AC4="","",RANK(AD4,AD$4:AD$100,1))</f>
        <v>1</v>
      </c>
      <c r="AG4" s="4">
        <f ca="1">IF(ISNA(VLOOKUP($B4,INDIRECT("'"&amp;AG$2&amp;"'!$B$3:$E$72"),4,FALSE)),"",VLOOKUP($B4,INDIRECT("'"&amp;AG$2&amp;"'!$B$3:$E$72"),4,FALSE))</f>
        <v>12</v>
      </c>
      <c r="AH4" s="5">
        <f>IF(AG4="","",AG4+AD4)</f>
        <v>27</v>
      </c>
      <c r="AI4" s="19">
        <f ca="1">IF(AH4="","",RANK(AH4,INDIRECT("AH"&amp;VLOOKUP($A4,$BA$1:$BC$3,2,FALSE)&amp;":AH"&amp;VLOOKUP($A4,$BA$1:$BC$3,3,FALSE)),1))</f>
        <v>1</v>
      </c>
      <c r="AJ4" s="6">
        <f>IF(AG4="","",RANK(AH4,AH$4:AH$100,1))</f>
        <v>1</v>
      </c>
      <c r="AK4" s="4">
        <f ca="1">IF(ISNA(VLOOKUP($B4,INDIRECT("'"&amp;AK$2&amp;"'!$B$3:$E$72"),4,FALSE)),"",VLOOKUP($B4,INDIRECT("'"&amp;AK$2&amp;"'!$B$3:$E$72"),4,FALSE))</f>
        <v>2</v>
      </c>
      <c r="AL4" s="5">
        <f>IF(AK4="","",AK4+AH4)</f>
        <v>29</v>
      </c>
      <c r="AM4" s="19">
        <f ca="1">IF(AL4="","",RANK(AL4,INDIRECT("AL"&amp;VLOOKUP($A4,$BA$1:$BC$3,2,FALSE)&amp;":AL"&amp;VLOOKUP($A4,$BA$1:$BC$3,3,FALSE)),1))</f>
        <v>1</v>
      </c>
      <c r="AN4" s="6">
        <f>IF(AK4="","",RANK(AL4,AL$4:AL$100,1))</f>
        <v>1</v>
      </c>
      <c r="AO4" s="4">
        <f ca="1">IF(ISNA(VLOOKUP($B4,INDIRECT("'"&amp;AO$2&amp;"'!$B$3:$E$72"),4,FALSE)),"",VLOOKUP($B4,INDIRECT("'"&amp;AO$2&amp;"'!$B$3:$E$72"),4,FALSE))</f>
        <v>1</v>
      </c>
      <c r="AP4" s="5">
        <f>IF(AO4="","",AO4+AL4)</f>
        <v>30</v>
      </c>
      <c r="AQ4" s="19">
        <f ca="1">IF(AP4="","",RANK(AP4,INDIRECT("AP"&amp;VLOOKUP($A4,$BA$1:$BC$3,2,FALSE)&amp;":AP"&amp;VLOOKUP($A4,$BA$1:$BC$3,3,FALSE)),1))</f>
        <v>1</v>
      </c>
      <c r="AR4" s="6">
        <f>IF(AO4="","",RANK(AP4,AP$4:AP$100,1))</f>
        <v>1</v>
      </c>
      <c r="AT4" s="18">
        <f>SUM(G4,I4,M4,Q4,U4,Y4,AC4,AG4,AK4,AO4)</f>
        <v>30</v>
      </c>
      <c r="AU4" s="19">
        <f ca="1">RANK(AT4,INDIRECT("AT"&amp;VLOOKUP($A4,$BA$1:$BC$3,2,FALSE)&amp;":AT"&amp;VLOOKUP($A4,$BA$1:$BC$3,3,FALSE)),1)</f>
        <v>1</v>
      </c>
      <c r="AV4" s="19">
        <f>RANK(AT4,$AT$4:$AT$100,1)</f>
        <v>1</v>
      </c>
      <c r="AW4" s="18">
        <f>MIN(G4,I4,M4,Q4,U4,Y4,AC4,AG4,AK4,AO4)</f>
        <v>1</v>
      </c>
      <c r="AX4" s="19">
        <f>MAX(G4,I4,M4,Q4,U4,Y4,AC4,AG4,AK4,AO4)</f>
        <v>12</v>
      </c>
      <c r="AY4" s="20">
        <f>MEDIAN(G4,I4,M4,Q4,U4,Y4,AC4,AG4,AK4,AO4)</f>
        <v>2</v>
      </c>
    </row>
    <row r="5" spans="1:51" ht="15.75">
      <c r="A5" s="14" t="s">
        <v>3</v>
      </c>
      <c r="B5" s="14">
        <v>28</v>
      </c>
      <c r="C5" s="40" t="str">
        <f>IF(ISBLANK(B5),"",VLOOKUP(B5,Entries!$A$4:$C$65,3,FALSE))</f>
        <v>Ilford A</v>
      </c>
      <c r="D5" s="4">
        <f>IF(AT5=0,"",AT5)</f>
        <v>52</v>
      </c>
      <c r="E5" s="5">
        <f ca="1">IF(OR(ISBLANK(D5),D5=0,D5=""),"",RANK(D5,INDIRECT("D"&amp;VLOOKUP($A5,$BA$1:$BC$3,2,FALSE)&amp;":D"&amp;VLOOKUP($A5,$BA$1:$BC$3,3,FALSE)),1))</f>
        <v>2</v>
      </c>
      <c r="F5" s="5">
        <f>IF(OR(ISBLANK(D5),D5=0,D5=""),"",RANK(D5,$D$4:$D$100,1))</f>
        <v>2</v>
      </c>
      <c r="G5" s="4">
        <f ca="1">IF(ISNA(VLOOKUP($B5,INDIRECT("'"&amp;G$2&amp;"'!$B$3:$E$72"),4,FALSE)),"",VLOOKUP($B5,INDIRECT("'"&amp;G$2&amp;"'!$B$3:$E$72"),4,FALSE))</f>
        <v>13</v>
      </c>
      <c r="H5" s="5">
        <f ca="1">IF(G5="","",RANK(G5,INDIRECT("G"&amp;VLOOKUP($A5,$BA$1:$BC$3,2,FALSE)&amp;":G"&amp;VLOOKUP($A5,$BA$1:$BC$3,3,FALSE)),1))</f>
        <v>12</v>
      </c>
      <c r="I5" s="4">
        <f ca="1">IF(ISNA(VLOOKUP($B5,INDIRECT("'"&amp;I$2&amp;"'!$B$3:$E$72"),4,FALSE)),"",VLOOKUP($B5,INDIRECT("'"&amp;I$2&amp;"'!$B$3:$E$72"),4,FALSE))</f>
        <v>3</v>
      </c>
      <c r="J5" s="5">
        <f>IF(I5="","",G5+I5)</f>
        <v>16</v>
      </c>
      <c r="K5" s="5">
        <f ca="1">IF(J5="","",RANK(J5,INDIRECT("J"&amp;VLOOKUP($A5,$BA$1:$BC$3,2,FALSE)&amp;":J"&amp;VLOOKUP($A5,$BA$1:$BC$3,3,FALSE)),1))</f>
        <v>7</v>
      </c>
      <c r="L5" s="6">
        <f>IF(I5="","",RANK(J5,J$4:J$100,1))</f>
        <v>7</v>
      </c>
      <c r="M5" s="4">
        <f ca="1">IF(ISNA(VLOOKUP($B5,INDIRECT("'"&amp;M$2&amp;"'!$B$3:$E$72"),4,FALSE)),"",VLOOKUP($B5,INDIRECT("'"&amp;M$2&amp;"'!$B$3:$E$72"),4,FALSE))</f>
        <v>4</v>
      </c>
      <c r="N5" s="5">
        <f>IF(M5="","",M5+J5)</f>
        <v>20</v>
      </c>
      <c r="O5" s="5">
        <f ca="1">IF(N5="","",RANK(N5,INDIRECT("N"&amp;VLOOKUP($A5,$BA$1:$BC$3,2,FALSE)&amp;":N"&amp;VLOOKUP($A5,$BA$1:$BC$3,3,FALSE)),1))</f>
        <v>6</v>
      </c>
      <c r="P5" s="6">
        <f>IF(M5="","",RANK(N5,N$4:N$100,1))</f>
        <v>6</v>
      </c>
      <c r="Q5" s="4">
        <f ca="1">IF(ISNA(VLOOKUP($B5,INDIRECT("'"&amp;Q$2&amp;"'!$B$3:$E$72"),4,FALSE)),"",VLOOKUP($B5,INDIRECT("'"&amp;Q$2&amp;"'!$B$3:$E$72"),4,FALSE))</f>
        <v>4</v>
      </c>
      <c r="R5" s="5">
        <f>IF(Q5="","",Q5+N5)</f>
        <v>24</v>
      </c>
      <c r="S5" s="5">
        <f ca="1">IF(R5="","",RANK(R5,INDIRECT("R"&amp;VLOOKUP($A5,$BA$1:$BC$3,2,FALSE)&amp;":R"&amp;VLOOKUP($A5,$BA$1:$BC$3,3,FALSE)),1))</f>
        <v>4</v>
      </c>
      <c r="T5" s="6">
        <f>IF(Q5="","",RANK(R5,R$4:R$100,1))</f>
        <v>4</v>
      </c>
      <c r="U5" s="4">
        <f ca="1">IF(ISNA(VLOOKUP($B5,INDIRECT("'"&amp;U$2&amp;"'!$B$3:$E$72"),4,FALSE)),"",VLOOKUP($B5,INDIRECT("'"&amp;U$2&amp;"'!$B$3:$E$72"),4,FALSE))</f>
        <v>1</v>
      </c>
      <c r="V5" s="5">
        <f>IF(U5="","",U5+R5)</f>
        <v>25</v>
      </c>
      <c r="W5" s="5">
        <f ca="1">IF(V5="","",RANK(V5,INDIRECT("V"&amp;VLOOKUP($A5,$BA$1:$BC$3,2,FALSE)&amp;":V"&amp;VLOOKUP($A5,$BA$1:$BC$3,3,FALSE)),1))</f>
        <v>3</v>
      </c>
      <c r="X5" s="6">
        <f>IF(U5="","",RANK(V5,V$4:V$100,1))</f>
        <v>3</v>
      </c>
      <c r="Y5" s="4">
        <f ca="1">IF(ISNA(VLOOKUP($B5,INDIRECT("'"&amp;Y$2&amp;"'!$B$3:$E$72"),4,FALSE)),"",VLOOKUP($B5,INDIRECT("'"&amp;Y$2&amp;"'!$B$3:$E$72"),4,FALSE))</f>
        <v>6</v>
      </c>
      <c r="Z5" s="5">
        <f>IF(Y5="","",Y5+V5)</f>
        <v>31</v>
      </c>
      <c r="AA5" s="5">
        <f ca="1">IF(Z5="","",RANK(Z5,INDIRECT("Z"&amp;VLOOKUP($A5,$BA$1:$BC$3,2,FALSE)&amp;":Z"&amp;VLOOKUP($A5,$BA$1:$BC$3,3,FALSE)),1))</f>
        <v>2</v>
      </c>
      <c r="AB5" s="6">
        <f>IF(Y5="","",RANK(Z5,Z$4:Z$100,1))</f>
        <v>2</v>
      </c>
      <c r="AC5" s="4">
        <f ca="1">IF(ISNA(VLOOKUP($B5,INDIRECT("'"&amp;AC$2&amp;"'!$B$3:$E$72"),4,FALSE)),"",VLOOKUP($B5,INDIRECT("'"&amp;AC$2&amp;"'!$B$3:$E$72"),4,FALSE))</f>
        <v>1</v>
      </c>
      <c r="AD5" s="5">
        <f>IF(AC5="","",AC5+Z5)</f>
        <v>32</v>
      </c>
      <c r="AE5" s="5">
        <f ca="1">IF(AD5="","",RANK(AD5,INDIRECT("AD"&amp;VLOOKUP($A5,$BA$1:$BC$3,2,FALSE)&amp;":AD"&amp;VLOOKUP($A5,$BA$1:$BC$3,3,FALSE)),1))</f>
        <v>2</v>
      </c>
      <c r="AF5" s="6">
        <f>IF(AC5="","",RANK(AD5,AD$4:AD$100,1))</f>
        <v>2</v>
      </c>
      <c r="AG5" s="4">
        <f ca="1">IF(ISNA(VLOOKUP($B5,INDIRECT("'"&amp;AG$2&amp;"'!$B$3:$E$72"),4,FALSE)),"",VLOOKUP($B5,INDIRECT("'"&amp;AG$2&amp;"'!$B$3:$E$72"),4,FALSE))</f>
        <v>6</v>
      </c>
      <c r="AH5" s="5">
        <f>IF(AG5="","",AG5+AD5)</f>
        <v>38</v>
      </c>
      <c r="AI5" s="5">
        <f ca="1">IF(AH5="","",RANK(AH5,INDIRECT("AH"&amp;VLOOKUP($A5,$BA$1:$BC$3,2,FALSE)&amp;":AH"&amp;VLOOKUP($A5,$BA$1:$BC$3,3,FALSE)),1))</f>
        <v>2</v>
      </c>
      <c r="AJ5" s="6">
        <f>IF(AG5="","",RANK(AH5,AH$4:AH$100,1))</f>
        <v>2</v>
      </c>
      <c r="AK5" s="4">
        <f ca="1">IF(ISNA(VLOOKUP($B5,INDIRECT("'"&amp;AK$2&amp;"'!$B$3:$E$72"),4,FALSE)),"",VLOOKUP($B5,INDIRECT("'"&amp;AK$2&amp;"'!$B$3:$E$72"),4,FALSE))</f>
        <v>1</v>
      </c>
      <c r="AL5" s="5">
        <f>IF(AK5="","",AK5+AH5)</f>
        <v>39</v>
      </c>
      <c r="AM5" s="5">
        <f ca="1">IF(AL5="","",RANK(AL5,INDIRECT("AL"&amp;VLOOKUP($A5,$BA$1:$BC$3,2,FALSE)&amp;":AL"&amp;VLOOKUP($A5,$BA$1:$BC$3,3,FALSE)),1))</f>
        <v>2</v>
      </c>
      <c r="AN5" s="6">
        <f>IF(AK5="","",RANK(AL5,AL$4:AL$100,1))</f>
        <v>2</v>
      </c>
      <c r="AO5" s="4">
        <f ca="1">IF(ISNA(VLOOKUP($B5,INDIRECT("'"&amp;AO$2&amp;"'!$B$3:$E$72"),4,FALSE)),"",VLOOKUP($B5,INDIRECT("'"&amp;AO$2&amp;"'!$B$3:$E$72"),4,FALSE))</f>
        <v>13</v>
      </c>
      <c r="AP5" s="5">
        <f>IF(AO5="","",AO5+AL5)</f>
        <v>52</v>
      </c>
      <c r="AQ5" s="5">
        <f ca="1">IF(AP5="","",RANK(AP5,INDIRECT("AP"&amp;VLOOKUP($A5,$BA$1:$BC$3,2,FALSE)&amp;":AP"&amp;VLOOKUP($A5,$BA$1:$BC$3,3,FALSE)),1))</f>
        <v>2</v>
      </c>
      <c r="AR5" s="6">
        <f>IF(AO5="","",RANK(AP5,AP$4:AP$100,1))</f>
        <v>2</v>
      </c>
      <c r="AT5" s="4">
        <f>SUM(G5,I5,M5,Q5,U5,Y5,AC5,AG5,AK5,AO5)</f>
        <v>52</v>
      </c>
      <c r="AU5" s="5">
        <f ca="1">RANK(AT5,INDIRECT("AT"&amp;VLOOKUP($A5,$BA$1:$BC$3,2,FALSE)&amp;":AT"&amp;VLOOKUP($A5,$BA$1:$BC$3,3,FALSE)),1)</f>
        <v>2</v>
      </c>
      <c r="AV5" s="5">
        <f>RANK(AT5,$AT$4:$AT$100,1)</f>
        <v>2</v>
      </c>
      <c r="AW5" s="4">
        <f>MIN(G5,I5,M5,Q5,U5,Y5,AC5,AG5,AK5,AO5)</f>
        <v>1</v>
      </c>
      <c r="AX5" s="5">
        <f>MAX(G5,I5,M5,Q5,U5,Y5,AC5,AG5,AK5,AO5)</f>
        <v>13</v>
      </c>
      <c r="AY5" s="6">
        <f>MEDIAN(G5,I5,M5,Q5,U5,Y5,AC5,AG5,AK5,AO5)</f>
        <v>4</v>
      </c>
    </row>
    <row r="6" spans="1:51" ht="15.75">
      <c r="A6" s="14" t="s">
        <v>3</v>
      </c>
      <c r="B6" s="41">
        <v>17</v>
      </c>
      <c r="C6" s="40" t="str">
        <f>IF(ISBLANK(B6),"",VLOOKUP(B6,Entries!$A$4:$C$65,3,FALSE))</f>
        <v>Benfleet Men A</v>
      </c>
      <c r="D6" s="4">
        <f>IF(AT6=0,"",AT6)</f>
        <v>58</v>
      </c>
      <c r="E6" s="5">
        <f ca="1">IF(OR(ISBLANK(D6),D6=0,D6=""),"",RANK(D6,INDIRECT("D"&amp;VLOOKUP($A6,$BA$1:$BC$3,2,FALSE)&amp;":D"&amp;VLOOKUP($A6,$BA$1:$BC$3,3,FALSE)),1))</f>
        <v>3</v>
      </c>
      <c r="F6" s="5">
        <f>IF(OR(ISBLANK(D6),D6=0,D6=""),"",RANK(D6,$D$4:$D$100,1))</f>
        <v>3</v>
      </c>
      <c r="G6" s="4">
        <f ca="1">IF(ISNA(VLOOKUP($B6,INDIRECT("'"&amp;G$2&amp;"'!$B$3:$E$72"),4,FALSE)),"",VLOOKUP($B6,INDIRECT("'"&amp;G$2&amp;"'!$B$3:$E$72"),4,FALSE))</f>
        <v>4</v>
      </c>
      <c r="H6" s="5">
        <f ca="1">IF(G6="","",RANK(G6,INDIRECT("G"&amp;VLOOKUP($A6,$BA$1:$BC$3,2,FALSE)&amp;":G"&amp;VLOOKUP($A6,$BA$1:$BC$3,3,FALSE)),1))</f>
        <v>4</v>
      </c>
      <c r="I6" s="4">
        <f ca="1">IF(ISNA(VLOOKUP($B6,INDIRECT("'"&amp;I$2&amp;"'!$B$3:$E$72"),4,FALSE)),"",VLOOKUP($B6,INDIRECT("'"&amp;I$2&amp;"'!$B$3:$E$72"),4,FALSE))</f>
        <v>6</v>
      </c>
      <c r="J6" s="5">
        <f>IF(I6="","",G6+I6)</f>
        <v>10</v>
      </c>
      <c r="K6" s="5">
        <f ca="1">IF(J6="","",RANK(J6,INDIRECT("J"&amp;VLOOKUP($A6,$BA$1:$BC$3,2,FALSE)&amp;":J"&amp;VLOOKUP($A6,$BA$1:$BC$3,3,FALSE)),1))</f>
        <v>4</v>
      </c>
      <c r="L6" s="6">
        <f>IF(I6="","",RANK(J6,J$4:J$100,1))</f>
        <v>4</v>
      </c>
      <c r="M6" s="4">
        <f ca="1">IF(ISNA(VLOOKUP($B6,INDIRECT("'"&amp;M$2&amp;"'!$B$3:$E$72"),4,FALSE)),"",VLOOKUP($B6,INDIRECT("'"&amp;M$2&amp;"'!$B$3:$E$72"),4,FALSE))</f>
        <v>6</v>
      </c>
      <c r="N6" s="5">
        <f>IF(M6="","",M6+J6)</f>
        <v>16</v>
      </c>
      <c r="O6" s="5">
        <f ca="1">IF(N6="","",RANK(N6,INDIRECT("N"&amp;VLOOKUP($A6,$BA$1:$BC$3,2,FALSE)&amp;":N"&amp;VLOOKUP($A6,$BA$1:$BC$3,3,FALSE)),1))</f>
        <v>3</v>
      </c>
      <c r="P6" s="6">
        <f>IF(M6="","",RANK(N6,N$4:N$100,1))</f>
        <v>3</v>
      </c>
      <c r="Q6" s="4">
        <f ca="1">IF(ISNA(VLOOKUP($B6,INDIRECT("'"&amp;Q$2&amp;"'!$B$3:$E$72"),4,FALSE)),"",VLOOKUP($B6,INDIRECT("'"&amp;Q$2&amp;"'!$B$3:$E$72"),4,FALSE))</f>
        <v>2</v>
      </c>
      <c r="R6" s="5">
        <f>IF(Q6="","",Q6+N6)</f>
        <v>18</v>
      </c>
      <c r="S6" s="5">
        <f ca="1">IF(R6="","",RANK(R6,INDIRECT("R"&amp;VLOOKUP($A6,$BA$1:$BC$3,2,FALSE)&amp;":R"&amp;VLOOKUP($A6,$BA$1:$BC$3,3,FALSE)),1))</f>
        <v>2</v>
      </c>
      <c r="T6" s="6">
        <f>IF(Q6="","",RANK(R6,R$4:R$100,1))</f>
        <v>2</v>
      </c>
      <c r="U6" s="4">
        <f ca="1">IF(ISNA(VLOOKUP($B6,INDIRECT("'"&amp;U$2&amp;"'!$B$3:$E$72"),4,FALSE)),"",VLOOKUP($B6,INDIRECT("'"&amp;U$2&amp;"'!$B$3:$E$72"),4,FALSE))</f>
        <v>5</v>
      </c>
      <c r="V6" s="5">
        <f>IF(U6="","",U6+R6)</f>
        <v>23</v>
      </c>
      <c r="W6" s="5">
        <f ca="1">IF(V6="","",RANK(V6,INDIRECT("V"&amp;VLOOKUP($A6,$BA$1:$BC$3,2,FALSE)&amp;":V"&amp;VLOOKUP($A6,$BA$1:$BC$3,3,FALSE)),1))</f>
        <v>2</v>
      </c>
      <c r="X6" s="6">
        <f>IF(U6="","",RANK(V6,V$4:V$100,1))</f>
        <v>2</v>
      </c>
      <c r="Y6" s="4">
        <f ca="1">IF(ISNA(VLOOKUP($B6,INDIRECT("'"&amp;Y$2&amp;"'!$B$3:$E$72"),4,FALSE)),"",VLOOKUP($B6,INDIRECT("'"&amp;Y$2&amp;"'!$B$3:$E$72"),4,FALSE))</f>
        <v>12</v>
      </c>
      <c r="Z6" s="5">
        <f>IF(Y6="","",Y6+V6)</f>
        <v>35</v>
      </c>
      <c r="AA6" s="5">
        <f ca="1">IF(Z6="","",RANK(Z6,INDIRECT("Z"&amp;VLOOKUP($A6,$BA$1:$BC$3,2,FALSE)&amp;":Z"&amp;VLOOKUP($A6,$BA$1:$BC$3,3,FALSE)),1))</f>
        <v>3</v>
      </c>
      <c r="AB6" s="6">
        <f>IF(Y6="","",RANK(Z6,Z$4:Z$100,1))</f>
        <v>3</v>
      </c>
      <c r="AC6" s="4">
        <f ca="1">IF(ISNA(VLOOKUP($B6,INDIRECT("'"&amp;AC$2&amp;"'!$B$3:$E$72"),4,FALSE)),"",VLOOKUP($B6,INDIRECT("'"&amp;AC$2&amp;"'!$B$3:$E$72"),4,FALSE))</f>
        <v>4</v>
      </c>
      <c r="AD6" s="5">
        <f>IF(AC6="","",AC6+Z6)</f>
        <v>39</v>
      </c>
      <c r="AE6" s="5">
        <f ca="1">IF(AD6="","",RANK(AD6,INDIRECT("AD"&amp;VLOOKUP($A6,$BA$1:$BC$3,2,FALSE)&amp;":AD"&amp;VLOOKUP($A6,$BA$1:$BC$3,3,FALSE)),1))</f>
        <v>3</v>
      </c>
      <c r="AF6" s="6">
        <f>IF(AC6="","",RANK(AD6,AD$4:AD$100,1))</f>
        <v>3</v>
      </c>
      <c r="AG6" s="4">
        <f ca="1">IF(ISNA(VLOOKUP($B6,INDIRECT("'"&amp;AG$2&amp;"'!$B$3:$E$72"),4,FALSE)),"",VLOOKUP($B6,INDIRECT("'"&amp;AG$2&amp;"'!$B$3:$E$72"),4,FALSE))</f>
        <v>4</v>
      </c>
      <c r="AH6" s="5">
        <f>IF(AG6="","",AG6+AD6)</f>
        <v>43</v>
      </c>
      <c r="AI6" s="5">
        <f ca="1">IF(AH6="","",RANK(AH6,INDIRECT("AH"&amp;VLOOKUP($A6,$BA$1:$BC$3,2,FALSE)&amp;":AH"&amp;VLOOKUP($A6,$BA$1:$BC$3,3,FALSE)),1))</f>
        <v>3</v>
      </c>
      <c r="AJ6" s="6">
        <f>IF(AG6="","",RANK(AH6,AH$4:AH$100,1))</f>
        <v>3</v>
      </c>
      <c r="AK6" s="4">
        <f ca="1">IF(ISNA(VLOOKUP($B6,INDIRECT("'"&amp;AK$2&amp;"'!$B$3:$E$72"),4,FALSE)),"",VLOOKUP($B6,INDIRECT("'"&amp;AK$2&amp;"'!$B$3:$E$72"),4,FALSE))</f>
        <v>9</v>
      </c>
      <c r="AL6" s="5">
        <f>IF(AK6="","",AK6+AH6)</f>
        <v>52</v>
      </c>
      <c r="AM6" s="5">
        <f ca="1">IF(AL6="","",RANK(AL6,INDIRECT("AL"&amp;VLOOKUP($A6,$BA$1:$BC$3,2,FALSE)&amp;":AL"&amp;VLOOKUP($A6,$BA$1:$BC$3,3,FALSE)),1))</f>
        <v>3</v>
      </c>
      <c r="AN6" s="6">
        <f>IF(AK6="","",RANK(AL6,AL$4:AL$100,1))</f>
        <v>3</v>
      </c>
      <c r="AO6" s="4">
        <f ca="1">IF(ISNA(VLOOKUP($B6,INDIRECT("'"&amp;AO$2&amp;"'!$B$3:$E$72"),4,FALSE)),"",VLOOKUP($B6,INDIRECT("'"&amp;AO$2&amp;"'!$B$3:$E$72"),4,FALSE))</f>
        <v>6</v>
      </c>
      <c r="AP6" s="5">
        <f>IF(AO6="","",AO6+AL6)</f>
        <v>58</v>
      </c>
      <c r="AQ6" s="5">
        <f ca="1">IF(AP6="","",RANK(AP6,INDIRECT("AP"&amp;VLOOKUP($A6,$BA$1:$BC$3,2,FALSE)&amp;":AP"&amp;VLOOKUP($A6,$BA$1:$BC$3,3,FALSE)),1))</f>
        <v>3</v>
      </c>
      <c r="AR6" s="6">
        <f>IF(AO6="","",RANK(AP6,AP$4:AP$100,1))</f>
        <v>3</v>
      </c>
      <c r="AT6" s="4">
        <f>SUM(G6,I6,M6,Q6,U6,Y6,AC6,AG6,AK6,AO6)</f>
        <v>58</v>
      </c>
      <c r="AU6" s="5">
        <f ca="1">RANK(AT6,INDIRECT("AT"&amp;VLOOKUP($A6,$BA$1:$BC$3,2,FALSE)&amp;":AT"&amp;VLOOKUP($A6,$BA$1:$BC$3,3,FALSE)),1)</f>
        <v>3</v>
      </c>
      <c r="AV6" s="5">
        <f>RANK(AT6,$AT$4:$AT$100,1)</f>
        <v>3</v>
      </c>
      <c r="AW6" s="4">
        <f>MIN(G6,I6,M6,Q6,U6,Y6,AC6,AG6,AK6,AO6)</f>
        <v>2</v>
      </c>
      <c r="AX6" s="5">
        <f>MAX(G6,I6,M6,Q6,U6,Y6,AC6,AG6,AK6,AO6)</f>
        <v>12</v>
      </c>
      <c r="AY6" s="6">
        <f>MEDIAN(G6,I6,M6,Q6,U6,Y6,AC6,AG6,AK6,AO6)</f>
        <v>5.5</v>
      </c>
    </row>
    <row r="7" spans="1:51" ht="15.75">
      <c r="A7" s="14" t="s">
        <v>3</v>
      </c>
      <c r="B7" s="14">
        <v>31</v>
      </c>
      <c r="C7" s="40" t="str">
        <f>IF(ISBLANK(B7),"",VLOOKUP(B7,Entries!$A$4:$C$65,3,FALSE))</f>
        <v>Springfield Striders Men B</v>
      </c>
      <c r="D7" s="4">
        <f>IF(AT7=0,"",AT7)</f>
        <v>76</v>
      </c>
      <c r="E7" s="5">
        <f ca="1">IF(OR(ISBLANK(D7),D7=0,D7=""),"",RANK(D7,INDIRECT("D"&amp;VLOOKUP($A7,$BA$1:$BC$3,2,FALSE)&amp;":D"&amp;VLOOKUP($A7,$BA$1:$BC$3,3,FALSE)),1))</f>
        <v>4</v>
      </c>
      <c r="F7" s="5">
        <f>IF(OR(ISBLANK(D7),D7=0,D7=""),"",RANK(D7,$D$4:$D$100,1))</f>
        <v>4</v>
      </c>
      <c r="G7" s="4">
        <f ca="1">IF(ISNA(VLOOKUP($B7,INDIRECT("'"&amp;G$2&amp;"'!$B$3:$E$72"),4,FALSE)),"",VLOOKUP($B7,INDIRECT("'"&amp;G$2&amp;"'!$B$3:$E$72"),4,FALSE))</f>
        <v>2</v>
      </c>
      <c r="H7" s="5">
        <f ca="1">IF(G7="","",RANK(G7,INDIRECT("G"&amp;VLOOKUP($A7,$BA$1:$BC$3,2,FALSE)&amp;":G"&amp;VLOOKUP($A7,$BA$1:$BC$3,3,FALSE)),1))</f>
        <v>2</v>
      </c>
      <c r="I7" s="4">
        <f ca="1">IF(ISNA(VLOOKUP($B7,INDIRECT("'"&amp;I$2&amp;"'!$B$3:$E$72"),4,FALSE)),"",VLOOKUP($B7,INDIRECT("'"&amp;I$2&amp;"'!$B$3:$E$72"),4,FALSE))</f>
        <v>7</v>
      </c>
      <c r="J7" s="5">
        <f>IF(I7="","",G7+I7)</f>
        <v>9</v>
      </c>
      <c r="K7" s="5">
        <f ca="1">IF(J7="","",RANK(J7,INDIRECT("J"&amp;VLOOKUP($A7,$BA$1:$BC$3,2,FALSE)&amp;":J"&amp;VLOOKUP($A7,$BA$1:$BC$3,3,FALSE)),1))</f>
        <v>3</v>
      </c>
      <c r="L7" s="6">
        <f>IF(I7="","",RANK(J7,J$4:J$100,1))</f>
        <v>3</v>
      </c>
      <c r="M7" s="4">
        <f ca="1">IF(ISNA(VLOOKUP($B7,INDIRECT("'"&amp;M$2&amp;"'!$B$3:$E$72"),4,FALSE)),"",VLOOKUP($B7,INDIRECT("'"&amp;M$2&amp;"'!$B$3:$E$72"),4,FALSE))</f>
        <v>8</v>
      </c>
      <c r="N7" s="5">
        <f>IF(M7="","",M7+J7)</f>
        <v>17</v>
      </c>
      <c r="O7" s="5">
        <f ca="1">IF(N7="","",RANK(N7,INDIRECT("N"&amp;VLOOKUP($A7,$BA$1:$BC$3,2,FALSE)&amp;":N"&amp;VLOOKUP($A7,$BA$1:$BC$3,3,FALSE)),1))</f>
        <v>5</v>
      </c>
      <c r="P7" s="6">
        <f>IF(M7="","",RANK(N7,N$4:N$100,1))</f>
        <v>5</v>
      </c>
      <c r="Q7" s="4">
        <f ca="1">IF(ISNA(VLOOKUP($B7,INDIRECT("'"&amp;Q$2&amp;"'!$B$3:$E$72"),4,FALSE)),"",VLOOKUP($B7,INDIRECT("'"&amp;Q$2&amp;"'!$B$3:$E$72"),4,FALSE))</f>
        <v>7</v>
      </c>
      <c r="R7" s="5">
        <f>IF(Q7="","",Q7+N7)</f>
        <v>24</v>
      </c>
      <c r="S7" s="5">
        <f ca="1">IF(R7="","",RANK(R7,INDIRECT("R"&amp;VLOOKUP($A7,$BA$1:$BC$3,2,FALSE)&amp;":R"&amp;VLOOKUP($A7,$BA$1:$BC$3,3,FALSE)),1))</f>
        <v>4</v>
      </c>
      <c r="T7" s="6">
        <f>IF(Q7="","",RANK(R7,R$4:R$100,1))</f>
        <v>4</v>
      </c>
      <c r="U7" s="4">
        <f ca="1">IF(ISNA(VLOOKUP($B7,INDIRECT("'"&amp;U$2&amp;"'!$B$3:$E$72"),4,FALSE)),"",VLOOKUP($B7,INDIRECT("'"&amp;U$2&amp;"'!$B$3:$E$72"),4,FALSE))</f>
        <v>12</v>
      </c>
      <c r="V7" s="5">
        <f>IF(U7="","",U7+R7)</f>
        <v>36</v>
      </c>
      <c r="W7" s="5">
        <f ca="1">IF(V7="","",RANK(V7,INDIRECT("V"&amp;VLOOKUP($A7,$BA$1:$BC$3,2,FALSE)&amp;":V"&amp;VLOOKUP($A7,$BA$1:$BC$3,3,FALSE)),1))</f>
        <v>5</v>
      </c>
      <c r="X7" s="6">
        <f>IF(U7="","",RANK(V7,V$4:V$100,1))</f>
        <v>5</v>
      </c>
      <c r="Y7" s="4">
        <f ca="1">IF(ISNA(VLOOKUP($B7,INDIRECT("'"&amp;Y$2&amp;"'!$B$3:$E$72"),4,FALSE)),"",VLOOKUP($B7,INDIRECT("'"&amp;Y$2&amp;"'!$B$3:$E$72"),4,FALSE))</f>
        <v>3</v>
      </c>
      <c r="Z7" s="5">
        <f>IF(Y7="","",Y7+V7)</f>
        <v>39</v>
      </c>
      <c r="AA7" s="5">
        <f ca="1">IF(Z7="","",RANK(Z7,INDIRECT("Z"&amp;VLOOKUP($A7,$BA$1:$BC$3,2,FALSE)&amp;":Z"&amp;VLOOKUP($A7,$BA$1:$BC$3,3,FALSE)),1))</f>
        <v>4</v>
      </c>
      <c r="AB7" s="6">
        <f>IF(Y7="","",RANK(Z7,Z$4:Z$100,1))</f>
        <v>4</v>
      </c>
      <c r="AC7" s="4">
        <f ca="1">IF(ISNA(VLOOKUP($B7,INDIRECT("'"&amp;AC$2&amp;"'!$B$3:$E$72"),4,FALSE)),"",VLOOKUP($B7,INDIRECT("'"&amp;AC$2&amp;"'!$B$3:$E$72"),4,FALSE))</f>
        <v>5</v>
      </c>
      <c r="AD7" s="5">
        <f>IF(AC7="","",AC7+Z7)</f>
        <v>44</v>
      </c>
      <c r="AE7" s="5">
        <f ca="1">IF(AD7="","",RANK(AD7,INDIRECT("AD"&amp;VLOOKUP($A7,$BA$1:$BC$3,2,FALSE)&amp;":AD"&amp;VLOOKUP($A7,$BA$1:$BC$3,3,FALSE)),1))</f>
        <v>4</v>
      </c>
      <c r="AF7" s="6">
        <f>IF(AC7="","",RANK(AD7,AD$4:AD$100,1))</f>
        <v>4</v>
      </c>
      <c r="AG7" s="4">
        <f ca="1">IF(ISNA(VLOOKUP($B7,INDIRECT("'"&amp;AG$2&amp;"'!$B$3:$E$72"),4,FALSE)),"",VLOOKUP($B7,INDIRECT("'"&amp;AG$2&amp;"'!$B$3:$E$72"),4,FALSE))</f>
        <v>18</v>
      </c>
      <c r="AH7" s="5">
        <f>IF(AG7="","",AG7+AD7)</f>
        <v>62</v>
      </c>
      <c r="AI7" s="5">
        <f ca="1">IF(AH7="","",RANK(AH7,INDIRECT("AH"&amp;VLOOKUP($A7,$BA$1:$BC$3,2,FALSE)&amp;":AH"&amp;VLOOKUP($A7,$BA$1:$BC$3,3,FALSE)),1))</f>
        <v>6</v>
      </c>
      <c r="AJ7" s="6">
        <f>IF(AG7="","",RANK(AH7,AH$4:AH$100,1))</f>
        <v>6</v>
      </c>
      <c r="AK7" s="4">
        <f ca="1">IF(ISNA(VLOOKUP($B7,INDIRECT("'"&amp;AK$2&amp;"'!$B$3:$E$72"),4,FALSE)),"",VLOOKUP($B7,INDIRECT("'"&amp;AK$2&amp;"'!$B$3:$E$72"),4,FALSE))</f>
        <v>11</v>
      </c>
      <c r="AL7" s="5">
        <f>IF(AK7="","",AK7+AH7)</f>
        <v>73</v>
      </c>
      <c r="AM7" s="5">
        <f ca="1">IF(AL7="","",RANK(AL7,INDIRECT("AL"&amp;VLOOKUP($A7,$BA$1:$BC$3,2,FALSE)&amp;":AL"&amp;VLOOKUP($A7,$BA$1:$BC$3,3,FALSE)),1))</f>
        <v>5</v>
      </c>
      <c r="AN7" s="6">
        <f>IF(AK7="","",RANK(AL7,AL$4:AL$100,1))</f>
        <v>5</v>
      </c>
      <c r="AO7" s="4">
        <f ca="1">IF(ISNA(VLOOKUP($B7,INDIRECT("'"&amp;AO$2&amp;"'!$B$3:$E$72"),4,FALSE)),"",VLOOKUP($B7,INDIRECT("'"&amp;AO$2&amp;"'!$B$3:$E$72"),4,FALSE))</f>
        <v>3</v>
      </c>
      <c r="AP7" s="5">
        <f>IF(AO7="","",AO7+AL7)</f>
        <v>76</v>
      </c>
      <c r="AQ7" s="5">
        <f ca="1">IF(AP7="","",RANK(AP7,INDIRECT("AP"&amp;VLOOKUP($A7,$BA$1:$BC$3,2,FALSE)&amp;":AP"&amp;VLOOKUP($A7,$BA$1:$BC$3,3,FALSE)),1))</f>
        <v>4</v>
      </c>
      <c r="AR7" s="6">
        <f>IF(AO7="","",RANK(AP7,AP$4:AP$100,1))</f>
        <v>4</v>
      </c>
      <c r="AT7" s="4">
        <f>SUM(G7,I7,M7,Q7,U7,Y7,AC7,AG7,AK7,AO7)</f>
        <v>76</v>
      </c>
      <c r="AU7" s="5">
        <f ca="1">RANK(AT7,INDIRECT("AT"&amp;VLOOKUP($A7,$BA$1:$BC$3,2,FALSE)&amp;":AT"&amp;VLOOKUP($A7,$BA$1:$BC$3,3,FALSE)),1)</f>
        <v>4</v>
      </c>
      <c r="AV7" s="5">
        <f>RANK(AT7,$AT$4:$AT$100,1)</f>
        <v>4</v>
      </c>
      <c r="AW7" s="4">
        <f>MIN(G7,I7,M7,Q7,U7,Y7,AC7,AG7,AK7,AO7)</f>
        <v>2</v>
      </c>
      <c r="AX7" s="5">
        <f>MAX(G7,I7,M7,Q7,U7,Y7,AC7,AG7,AK7,AO7)</f>
        <v>18</v>
      </c>
      <c r="AY7" s="6">
        <f>MEDIAN(G7,I7,M7,Q7,U7,Y7,AC7,AG7,AK7,AO7)</f>
        <v>7</v>
      </c>
    </row>
    <row r="8" spans="1:51" ht="15.75">
      <c r="A8" s="14" t="s">
        <v>3</v>
      </c>
      <c r="B8" s="14">
        <v>24</v>
      </c>
      <c r="C8" s="40" t="str">
        <f>IF(ISBLANK(B8),"",VLOOKUP(B8,Entries!$A$4:$C$65,3,FALSE))</f>
        <v>Southend Men A</v>
      </c>
      <c r="D8" s="4">
        <f>IF(AT8=0,"",AT8)</f>
        <v>79</v>
      </c>
      <c r="E8" s="5">
        <f ca="1">IF(OR(ISBLANK(D8),D8=0,D8=""),"",RANK(D8,INDIRECT("D"&amp;VLOOKUP($A8,$BA$1:$BC$3,2,FALSE)&amp;":D"&amp;VLOOKUP($A8,$BA$1:$BC$3,3,FALSE)),1))</f>
        <v>5</v>
      </c>
      <c r="F8" s="5">
        <f>IF(OR(ISBLANK(D8),D8=0,D8=""),"",RANK(D8,$D$4:$D$100,1))</f>
        <v>5</v>
      </c>
      <c r="G8" s="4">
        <f ca="1">IF(ISNA(VLOOKUP($B8,INDIRECT("'"&amp;G$2&amp;"'!$B$3:$E$72"),4,FALSE)),"",VLOOKUP($B8,INDIRECT("'"&amp;G$2&amp;"'!$B$3:$E$72"),4,FALSE))</f>
        <v>19</v>
      </c>
      <c r="H8" s="5">
        <f ca="1">IF(G8="","",RANK(G8,INDIRECT("G"&amp;VLOOKUP($A8,$BA$1:$BC$3,2,FALSE)&amp;":G"&amp;VLOOKUP($A8,$BA$1:$BC$3,3,FALSE)),1))</f>
        <v>16</v>
      </c>
      <c r="I8" s="4">
        <f ca="1">IF(ISNA(VLOOKUP($B8,INDIRECT("'"&amp;I$2&amp;"'!$B$3:$E$72"),4,FALSE)),"",VLOOKUP($B8,INDIRECT("'"&amp;I$2&amp;"'!$B$3:$E$72"),4,FALSE))</f>
        <v>1</v>
      </c>
      <c r="J8" s="5">
        <f>IF(I8="","",G8+I8)</f>
        <v>20</v>
      </c>
      <c r="K8" s="5">
        <f ca="1">IF(J8="","",RANK(J8,INDIRECT("J"&amp;VLOOKUP($A8,$BA$1:$BC$3,2,FALSE)&amp;":J"&amp;VLOOKUP($A8,$BA$1:$BC$3,3,FALSE)),1))</f>
        <v>8</v>
      </c>
      <c r="L8" s="6">
        <f>IF(I8="","",RANK(J8,J$4:J$100,1))</f>
        <v>8</v>
      </c>
      <c r="M8" s="4">
        <f ca="1">IF(ISNA(VLOOKUP($B8,INDIRECT("'"&amp;M$2&amp;"'!$B$3:$E$72"),4,FALSE)),"",VLOOKUP($B8,INDIRECT("'"&amp;M$2&amp;"'!$B$3:$E$72"),4,FALSE))</f>
        <v>21</v>
      </c>
      <c r="N8" s="5">
        <f>IF(M8="","",M8+J8)</f>
        <v>41</v>
      </c>
      <c r="O8" s="5">
        <f ca="1">IF(N8="","",RANK(N8,INDIRECT("N"&amp;VLOOKUP($A8,$BA$1:$BC$3,2,FALSE)&amp;":N"&amp;VLOOKUP($A8,$BA$1:$BC$3,3,FALSE)),1))</f>
        <v>10</v>
      </c>
      <c r="P8" s="6">
        <f>IF(M8="","",RANK(N8,N$4:N$100,1))</f>
        <v>10</v>
      </c>
      <c r="Q8" s="4">
        <f ca="1">IF(ISNA(VLOOKUP($B8,INDIRECT("'"&amp;Q$2&amp;"'!$B$3:$E$72"),4,FALSE)),"",VLOOKUP($B8,INDIRECT("'"&amp;Q$2&amp;"'!$B$3:$E$72"),4,FALSE))</f>
        <v>1</v>
      </c>
      <c r="R8" s="5">
        <f>IF(Q8="","",Q8+N8)</f>
        <v>42</v>
      </c>
      <c r="S8" s="5">
        <f ca="1">IF(R8="","",RANK(R8,INDIRECT("R"&amp;VLOOKUP($A8,$BA$1:$BC$3,2,FALSE)&amp;":R"&amp;VLOOKUP($A8,$BA$1:$BC$3,3,FALSE)),1))</f>
        <v>10</v>
      </c>
      <c r="T8" s="6">
        <f>IF(Q8="","",RANK(R8,R$4:R$100,1))</f>
        <v>10</v>
      </c>
      <c r="U8" s="4">
        <f ca="1">IF(ISNA(VLOOKUP($B8,INDIRECT("'"&amp;U$2&amp;"'!$B$3:$E$72"),4,FALSE)),"",VLOOKUP($B8,INDIRECT("'"&amp;U$2&amp;"'!$B$3:$E$72"),4,FALSE))</f>
        <v>3</v>
      </c>
      <c r="V8" s="5">
        <f>IF(U8="","",U8+R8)</f>
        <v>45</v>
      </c>
      <c r="W8" s="5">
        <f ca="1">IF(V8="","",RANK(V8,INDIRECT("V"&amp;VLOOKUP($A8,$BA$1:$BC$3,2,FALSE)&amp;":V"&amp;VLOOKUP($A8,$BA$1:$BC$3,3,FALSE)),1))</f>
        <v>8</v>
      </c>
      <c r="X8" s="6">
        <f>IF(U8="","",RANK(V8,V$4:V$100,1))</f>
        <v>8</v>
      </c>
      <c r="Y8" s="4">
        <f ca="1">IF(ISNA(VLOOKUP($B8,INDIRECT("'"&amp;Y$2&amp;"'!$B$3:$E$72"),4,FALSE)),"",VLOOKUP($B8,INDIRECT("'"&amp;Y$2&amp;"'!$B$3:$E$72"),4,FALSE))</f>
        <v>18</v>
      </c>
      <c r="Z8" s="5">
        <f>IF(Y8="","",Y8+V8)</f>
        <v>63</v>
      </c>
      <c r="AA8" s="5">
        <f ca="1">IF(Z8="","",RANK(Z8,INDIRECT("Z"&amp;VLOOKUP($A8,$BA$1:$BC$3,2,FALSE)&amp;":Z"&amp;VLOOKUP($A8,$BA$1:$BC$3,3,FALSE)),1))</f>
        <v>8</v>
      </c>
      <c r="AB8" s="6">
        <f>IF(Y8="","",RANK(Z8,Z$4:Z$100,1))</f>
        <v>8</v>
      </c>
      <c r="AC8" s="4">
        <f ca="1">IF(ISNA(VLOOKUP($B8,INDIRECT("'"&amp;AC$2&amp;"'!$B$3:$E$72"),4,FALSE)),"",VLOOKUP($B8,INDIRECT("'"&amp;AC$2&amp;"'!$B$3:$E$72"),4,FALSE))</f>
        <v>6</v>
      </c>
      <c r="AD8" s="5">
        <f>IF(AC8="","",AC8+Z8)</f>
        <v>69</v>
      </c>
      <c r="AE8" s="5">
        <f ca="1">IF(AD8="","",RANK(AD8,INDIRECT("AD"&amp;VLOOKUP($A8,$BA$1:$BC$3,2,FALSE)&amp;":AD"&amp;VLOOKUP($A8,$BA$1:$BC$3,3,FALSE)),1))</f>
        <v>8</v>
      </c>
      <c r="AF8" s="6">
        <f>IF(AC8="","",RANK(AD8,AD$4:AD$100,1))</f>
        <v>8</v>
      </c>
      <c r="AG8" s="4">
        <f ca="1">IF(ISNA(VLOOKUP($B8,INDIRECT("'"&amp;AG$2&amp;"'!$B$3:$E$72"),4,FALSE)),"",VLOOKUP($B8,INDIRECT("'"&amp;AG$2&amp;"'!$B$3:$E$72"),4,FALSE))</f>
        <v>5</v>
      </c>
      <c r="AH8" s="5">
        <f>IF(AG8="","",AG8+AD8)</f>
        <v>74</v>
      </c>
      <c r="AI8" s="5">
        <f ca="1">IF(AH8="","",RANK(AH8,INDIRECT("AH"&amp;VLOOKUP($A8,$BA$1:$BC$3,2,FALSE)&amp;":AH"&amp;VLOOKUP($A8,$BA$1:$BC$3,3,FALSE)),1))</f>
        <v>7</v>
      </c>
      <c r="AJ8" s="6">
        <f>IF(AG8="","",RANK(AH8,AH$4:AH$100,1))</f>
        <v>7</v>
      </c>
      <c r="AK8" s="4">
        <f ca="1">IF(ISNA(VLOOKUP($B8,INDIRECT("'"&amp;AK$2&amp;"'!$B$3:$E$72"),4,FALSE)),"",VLOOKUP($B8,INDIRECT("'"&amp;AK$2&amp;"'!$B$3:$E$72"),4,FALSE))</f>
        <v>3</v>
      </c>
      <c r="AL8" s="5">
        <f>IF(AK8="","",AK8+AH8)</f>
        <v>77</v>
      </c>
      <c r="AM8" s="5">
        <f ca="1">IF(AL8="","",RANK(AL8,INDIRECT("AL"&amp;VLOOKUP($A8,$BA$1:$BC$3,2,FALSE)&amp;":AL"&amp;VLOOKUP($A8,$BA$1:$BC$3,3,FALSE)),1))</f>
        <v>6</v>
      </c>
      <c r="AN8" s="6">
        <f>IF(AK8="","",RANK(AL8,AL$4:AL$100,1))</f>
        <v>6</v>
      </c>
      <c r="AO8" s="4">
        <f ca="1">IF(ISNA(VLOOKUP($B8,INDIRECT("'"&amp;AO$2&amp;"'!$B$3:$E$72"),4,FALSE)),"",VLOOKUP($B8,INDIRECT("'"&amp;AO$2&amp;"'!$B$3:$E$72"),4,FALSE))</f>
        <v>2</v>
      </c>
      <c r="AP8" s="5">
        <f>IF(AO8="","",AO8+AL8)</f>
        <v>79</v>
      </c>
      <c r="AQ8" s="5">
        <f ca="1">IF(AP8="","",RANK(AP8,INDIRECT("AP"&amp;VLOOKUP($A8,$BA$1:$BC$3,2,FALSE)&amp;":AP"&amp;VLOOKUP($A8,$BA$1:$BC$3,3,FALSE)),1))</f>
        <v>5</v>
      </c>
      <c r="AR8" s="6">
        <f>IF(AO8="","",RANK(AP8,AP$4:AP$100,1))</f>
        <v>5</v>
      </c>
      <c r="AT8" s="4">
        <f>SUM(G8,I8,M8,Q8,U8,Y8,AC8,AG8,AK8,AO8)</f>
        <v>79</v>
      </c>
      <c r="AU8" s="5">
        <f ca="1">RANK(AT8,INDIRECT("AT"&amp;VLOOKUP($A8,$BA$1:$BC$3,2,FALSE)&amp;":AT"&amp;VLOOKUP($A8,$BA$1:$BC$3,3,FALSE)),1)</f>
        <v>5</v>
      </c>
      <c r="AV8" s="5">
        <f>RANK(AT8,$AT$4:$AT$100,1)</f>
        <v>5</v>
      </c>
      <c r="AW8" s="4">
        <f>MIN(G8,I8,M8,Q8,U8,Y8,AC8,AG8,AK8,AO8)</f>
        <v>1</v>
      </c>
      <c r="AX8" s="5">
        <f>MAX(G8,I8,M8,Q8,U8,Y8,AC8,AG8,AK8,AO8)</f>
        <v>21</v>
      </c>
      <c r="AY8" s="6">
        <f>MEDIAN(G8,I8,M8,Q8,U8,Y8,AC8,AG8,AK8,AO8)</f>
        <v>4</v>
      </c>
    </row>
    <row r="9" spans="1:51" ht="15.75">
      <c r="A9" s="14" t="s">
        <v>3</v>
      </c>
      <c r="B9" s="41">
        <v>9</v>
      </c>
      <c r="C9" s="40" t="str">
        <f>IF(ISBLANK(B9),"",VLOOKUP(B9,Entries!$A$4:$C$65,3,FALSE))</f>
        <v>Leigh on Sea Striders - I liked the Boys</v>
      </c>
      <c r="D9" s="4">
        <f>IF(AT9=0,"",AT9)</f>
        <v>87</v>
      </c>
      <c r="E9" s="5">
        <f ca="1">IF(OR(ISBLANK(D9),D9=0,D9=""),"",RANK(D9,INDIRECT("D"&amp;VLOOKUP($A9,$BA$1:$BC$3,2,FALSE)&amp;":D"&amp;VLOOKUP($A9,$BA$1:$BC$3,3,FALSE)),1))</f>
        <v>6</v>
      </c>
      <c r="F9" s="5">
        <f>IF(OR(ISBLANK(D9),D9=0,D9=""),"",RANK(D9,$D$4:$D$100,1))</f>
        <v>6</v>
      </c>
      <c r="G9" s="4">
        <f ca="1">IF(ISNA(VLOOKUP($B9,INDIRECT("'"&amp;G$2&amp;"'!$B$3:$E$72"),4,FALSE)),"",VLOOKUP($B9,INDIRECT("'"&amp;G$2&amp;"'!$B$3:$E$72"),4,FALSE))</f>
        <v>3</v>
      </c>
      <c r="H9" s="5">
        <f ca="1">IF(G9="","",RANK(G9,INDIRECT("G"&amp;VLOOKUP($A9,$BA$1:$BC$3,2,FALSE)&amp;":G"&amp;VLOOKUP($A9,$BA$1:$BC$3,3,FALSE)),1))</f>
        <v>3</v>
      </c>
      <c r="I9" s="4">
        <f ca="1">IF(ISNA(VLOOKUP($B9,INDIRECT("'"&amp;I$2&amp;"'!$B$3:$E$72"),4,FALSE)),"",VLOOKUP($B9,INDIRECT("'"&amp;I$2&amp;"'!$B$3:$E$72"),4,FALSE))</f>
        <v>4</v>
      </c>
      <c r="J9" s="5">
        <f>IF(I9="","",G9+I9)</f>
        <v>7</v>
      </c>
      <c r="K9" s="5">
        <f ca="1">IF(J9="","",RANK(J9,INDIRECT("J"&amp;VLOOKUP($A9,$BA$1:$BC$3,2,FALSE)&amp;":J"&amp;VLOOKUP($A9,$BA$1:$BC$3,3,FALSE)),1))</f>
        <v>2</v>
      </c>
      <c r="L9" s="6">
        <f>IF(I9="","",RANK(J9,J$4:J$100,1))</f>
        <v>2</v>
      </c>
      <c r="M9" s="4">
        <f ca="1">IF(ISNA(VLOOKUP($B9,INDIRECT("'"&amp;M$2&amp;"'!$B$3:$E$72"),4,FALSE)),"",VLOOKUP($B9,INDIRECT("'"&amp;M$2&amp;"'!$B$3:$E$72"),4,FALSE))</f>
        <v>5</v>
      </c>
      <c r="N9" s="5">
        <f>IF(M9="","",M9+J9)</f>
        <v>12</v>
      </c>
      <c r="O9" s="5">
        <f ca="1">IF(N9="","",RANK(N9,INDIRECT("N"&amp;VLOOKUP($A9,$BA$1:$BC$3,2,FALSE)&amp;":N"&amp;VLOOKUP($A9,$BA$1:$BC$3,3,FALSE)),1))</f>
        <v>2</v>
      </c>
      <c r="P9" s="6">
        <f>IF(M9="","",RANK(N9,N$4:N$100,1))</f>
        <v>2</v>
      </c>
      <c r="Q9" s="4">
        <f ca="1">IF(ISNA(VLOOKUP($B9,INDIRECT("'"&amp;Q$2&amp;"'!$B$3:$E$72"),4,FALSE)),"",VLOOKUP($B9,INDIRECT("'"&amp;Q$2&amp;"'!$B$3:$E$72"),4,FALSE))</f>
        <v>8</v>
      </c>
      <c r="R9" s="5">
        <f>IF(Q9="","",Q9+N9)</f>
        <v>20</v>
      </c>
      <c r="S9" s="5">
        <f ca="1">IF(R9="","",RANK(R9,INDIRECT("R"&amp;VLOOKUP($A9,$BA$1:$BC$3,2,FALSE)&amp;":R"&amp;VLOOKUP($A9,$BA$1:$BC$3,3,FALSE)),1))</f>
        <v>3</v>
      </c>
      <c r="T9" s="6">
        <f>IF(Q9="","",RANK(R9,R$4:R$100,1))</f>
        <v>3</v>
      </c>
      <c r="U9" s="4">
        <f ca="1">IF(ISNA(VLOOKUP($B9,INDIRECT("'"&amp;U$2&amp;"'!$B$3:$E$72"),4,FALSE)),"",VLOOKUP($B9,INDIRECT("'"&amp;U$2&amp;"'!$B$3:$E$72"),4,FALSE))</f>
        <v>10</v>
      </c>
      <c r="V9" s="5">
        <f>IF(U9="","",U9+R9)</f>
        <v>30</v>
      </c>
      <c r="W9" s="5">
        <f ca="1">IF(V9="","",RANK(V9,INDIRECT("V"&amp;VLOOKUP($A9,$BA$1:$BC$3,2,FALSE)&amp;":V"&amp;VLOOKUP($A9,$BA$1:$BC$3,3,FALSE)),1))</f>
        <v>4</v>
      </c>
      <c r="X9" s="6">
        <f>IF(U9="","",RANK(V9,V$4:V$100,1))</f>
        <v>4</v>
      </c>
      <c r="Y9" s="4">
        <f ca="1">IF(ISNA(VLOOKUP($B9,INDIRECT("'"&amp;Y$2&amp;"'!$B$3:$E$72"),4,FALSE)),"",VLOOKUP($B9,INDIRECT("'"&amp;Y$2&amp;"'!$B$3:$E$72"),4,FALSE))</f>
        <v>9</v>
      </c>
      <c r="Z9" s="5">
        <f>IF(Y9="","",Y9+V9)</f>
        <v>39</v>
      </c>
      <c r="AA9" s="5">
        <f ca="1">IF(Z9="","",RANK(Z9,INDIRECT("Z"&amp;VLOOKUP($A9,$BA$1:$BC$3,2,FALSE)&amp;":Z"&amp;VLOOKUP($A9,$BA$1:$BC$3,3,FALSE)),1))</f>
        <v>4</v>
      </c>
      <c r="AB9" s="6">
        <f>IF(Y9="","",RANK(Z9,Z$4:Z$100,1))</f>
        <v>4</v>
      </c>
      <c r="AC9" s="4">
        <f ca="1">IF(ISNA(VLOOKUP($B9,INDIRECT("'"&amp;AC$2&amp;"'!$B$3:$E$72"),4,FALSE)),"",VLOOKUP($B9,INDIRECT("'"&amp;AC$2&amp;"'!$B$3:$E$72"),4,FALSE))</f>
        <v>10</v>
      </c>
      <c r="AD9" s="5">
        <f>IF(AC9="","",AC9+Z9)</f>
        <v>49</v>
      </c>
      <c r="AE9" s="5">
        <f ca="1">IF(AD9="","",RANK(AD9,INDIRECT("AD"&amp;VLOOKUP($A9,$BA$1:$BC$3,2,FALSE)&amp;":AD"&amp;VLOOKUP($A9,$BA$1:$BC$3,3,FALSE)),1))</f>
        <v>5</v>
      </c>
      <c r="AF9" s="6">
        <f>IF(AC9="","",RANK(AD9,AD$4:AD$100,1))</f>
        <v>5</v>
      </c>
      <c r="AG9" s="4">
        <f ca="1">IF(ISNA(VLOOKUP($B9,INDIRECT("'"&amp;AG$2&amp;"'!$B$3:$E$72"),4,FALSE)),"",VLOOKUP($B9,INDIRECT("'"&amp;AG$2&amp;"'!$B$3:$E$72"),4,FALSE))</f>
        <v>8</v>
      </c>
      <c r="AH9" s="5">
        <f>IF(AG9="","",AG9+AD9)</f>
        <v>57</v>
      </c>
      <c r="AI9" s="5">
        <f ca="1">IF(AH9="","",RANK(AH9,INDIRECT("AH"&amp;VLOOKUP($A9,$BA$1:$BC$3,2,FALSE)&amp;":AH"&amp;VLOOKUP($A9,$BA$1:$BC$3,3,FALSE)),1))</f>
        <v>4</v>
      </c>
      <c r="AJ9" s="6">
        <f>IF(AG9="","",RANK(AH9,AH$4:AH$100,1))</f>
        <v>4</v>
      </c>
      <c r="AK9" s="4">
        <f ca="1">IF(ISNA(VLOOKUP($B9,INDIRECT("'"&amp;AK$2&amp;"'!$B$3:$E$72"),4,FALSE)),"",VLOOKUP($B9,INDIRECT("'"&amp;AK$2&amp;"'!$B$3:$E$72"),4,FALSE))</f>
        <v>15</v>
      </c>
      <c r="AL9" s="5">
        <f>IF(AK9="","",AK9+AH9)</f>
        <v>72</v>
      </c>
      <c r="AM9" s="5">
        <f ca="1">IF(AL9="","",RANK(AL9,INDIRECT("AL"&amp;VLOOKUP($A9,$BA$1:$BC$3,2,FALSE)&amp;":AL"&amp;VLOOKUP($A9,$BA$1:$BC$3,3,FALSE)),1))</f>
        <v>4</v>
      </c>
      <c r="AN9" s="6">
        <f>IF(AK9="","",RANK(AL9,AL$4:AL$100,1))</f>
        <v>4</v>
      </c>
      <c r="AO9" s="4">
        <f ca="1">IF(ISNA(VLOOKUP($B9,INDIRECT("'"&amp;AO$2&amp;"'!$B$3:$E$72"),4,FALSE)),"",VLOOKUP($B9,INDIRECT("'"&amp;AO$2&amp;"'!$B$3:$E$72"),4,FALSE))</f>
        <v>15</v>
      </c>
      <c r="AP9" s="5">
        <f>IF(AO9="","",AO9+AL9)</f>
        <v>87</v>
      </c>
      <c r="AQ9" s="5">
        <f ca="1">IF(AP9="","",RANK(AP9,INDIRECT("AP"&amp;VLOOKUP($A9,$BA$1:$BC$3,2,FALSE)&amp;":AP"&amp;VLOOKUP($A9,$BA$1:$BC$3,3,FALSE)),1))</f>
        <v>6</v>
      </c>
      <c r="AR9" s="6">
        <f>IF(AO9="","",RANK(AP9,AP$4:AP$100,1))</f>
        <v>6</v>
      </c>
      <c r="AT9" s="4">
        <f>SUM(G9,I9,M9,Q9,U9,Y9,AC9,AG9,AK9,AO9)</f>
        <v>87</v>
      </c>
      <c r="AU9" s="5">
        <f ca="1">RANK(AT9,INDIRECT("AT"&amp;VLOOKUP($A9,$BA$1:$BC$3,2,FALSE)&amp;":AT"&amp;VLOOKUP($A9,$BA$1:$BC$3,3,FALSE)),1)</f>
        <v>6</v>
      </c>
      <c r="AV9" s="5">
        <f>RANK(AT9,$AT$4:$AT$100,1)</f>
        <v>6</v>
      </c>
      <c r="AW9" s="4">
        <f>MIN(G9,I9,M9,Q9,U9,Y9,AC9,AG9,AK9,AO9)</f>
        <v>3</v>
      </c>
      <c r="AX9" s="5">
        <f>MAX(G9,I9,M9,Q9,U9,Y9,AC9,AG9,AK9,AO9)</f>
        <v>15</v>
      </c>
      <c r="AY9" s="6">
        <f>MEDIAN(G9,I9,M9,Q9,U9,Y9,AC9,AG9,AK9,AO9)</f>
        <v>8.5</v>
      </c>
    </row>
    <row r="10" spans="1:51" ht="15.75">
      <c r="A10" s="14" t="s">
        <v>3</v>
      </c>
      <c r="B10" s="41">
        <v>21</v>
      </c>
      <c r="C10" s="40" t="str">
        <f>IF(ISBLANK(B10),"",VLOOKUP(B10,Entries!$A$4:$C$65,3,FALSE))</f>
        <v>TGT Men A</v>
      </c>
      <c r="D10" s="4">
        <f>IF(AT10=0,"",AT10)</f>
        <v>93</v>
      </c>
      <c r="E10" s="5">
        <f ca="1">IF(OR(ISBLANK(D10),D10=0,D10=""),"",RANK(D10,INDIRECT("D"&amp;VLOOKUP($A10,$BA$1:$BC$3,2,FALSE)&amp;":D"&amp;VLOOKUP($A10,$BA$1:$BC$3,3,FALSE)),1))</f>
        <v>7</v>
      </c>
      <c r="F10" s="5">
        <f>IF(OR(ISBLANK(D10),D10=0,D10=""),"",RANK(D10,$D$4:$D$100,1))</f>
        <v>7</v>
      </c>
      <c r="G10" s="4">
        <f ca="1">IF(ISNA(VLOOKUP($B10,INDIRECT("'"&amp;G$2&amp;"'!$B$3:$E$72"),4,FALSE)),"",VLOOKUP($B10,INDIRECT("'"&amp;G$2&amp;"'!$B$3:$E$72"),4,FALSE))</f>
        <v>6</v>
      </c>
      <c r="H10" s="5">
        <f ca="1">IF(G10="","",RANK(G10,INDIRECT("G"&amp;VLOOKUP($A10,$BA$1:$BC$3,2,FALSE)&amp;":G"&amp;VLOOKUP($A10,$BA$1:$BC$3,3,FALSE)),1))</f>
        <v>6</v>
      </c>
      <c r="I10" s="4">
        <f ca="1">IF(ISNA(VLOOKUP($B10,INDIRECT("'"&amp;I$2&amp;"'!$B$3:$E$72"),4,FALSE)),"",VLOOKUP($B10,INDIRECT("'"&amp;I$2&amp;"'!$B$3:$E$72"),4,FALSE))</f>
        <v>9</v>
      </c>
      <c r="J10" s="5">
        <f>IF(I10="","",G10+I10)</f>
        <v>15</v>
      </c>
      <c r="K10" s="5">
        <f ca="1">IF(J10="","",RANK(J10,INDIRECT("J"&amp;VLOOKUP($A10,$BA$1:$BC$3,2,FALSE)&amp;":J"&amp;VLOOKUP($A10,$BA$1:$BC$3,3,FALSE)),1))</f>
        <v>5</v>
      </c>
      <c r="L10" s="6">
        <f>IF(I10="","",RANK(J10,J$4:J$100,1))</f>
        <v>5</v>
      </c>
      <c r="M10" s="4">
        <f ca="1">IF(ISNA(VLOOKUP($B10,INDIRECT("'"&amp;M$2&amp;"'!$B$3:$E$72"),4,FALSE)),"",VLOOKUP($B10,INDIRECT("'"&amp;M$2&amp;"'!$B$3:$E$72"),4,FALSE))</f>
        <v>1</v>
      </c>
      <c r="N10" s="5">
        <f>IF(M10="","",M10+J10)</f>
        <v>16</v>
      </c>
      <c r="O10" s="5">
        <f ca="1">IF(N10="","",RANK(N10,INDIRECT("N"&amp;VLOOKUP($A10,$BA$1:$BC$3,2,FALSE)&amp;":N"&amp;VLOOKUP($A10,$BA$1:$BC$3,3,FALSE)),1))</f>
        <v>3</v>
      </c>
      <c r="P10" s="6">
        <f>IF(M10="","",RANK(N10,N$4:N$100,1))</f>
        <v>3</v>
      </c>
      <c r="Q10" s="4">
        <f ca="1">IF(ISNA(VLOOKUP($B10,INDIRECT("'"&amp;Q$2&amp;"'!$B$3:$E$72"),4,FALSE)),"",VLOOKUP($B10,INDIRECT("'"&amp;Q$2&amp;"'!$B$3:$E$72"),4,FALSE))</f>
        <v>19</v>
      </c>
      <c r="R10" s="5">
        <f>IF(Q10="","",Q10+N10)</f>
        <v>35</v>
      </c>
      <c r="S10" s="5">
        <f ca="1">IF(R10="","",RANK(R10,INDIRECT("R"&amp;VLOOKUP($A10,$BA$1:$BC$3,2,FALSE)&amp;":R"&amp;VLOOKUP($A10,$BA$1:$BC$3,3,FALSE)),1))</f>
        <v>7</v>
      </c>
      <c r="T10" s="6">
        <f>IF(Q10="","",RANK(R10,R$4:R$100,1))</f>
        <v>7</v>
      </c>
      <c r="U10" s="4">
        <f ca="1">IF(ISNA(VLOOKUP($B10,INDIRECT("'"&amp;U$2&amp;"'!$B$3:$E$72"),4,FALSE)),"",VLOOKUP($B10,INDIRECT("'"&amp;U$2&amp;"'!$B$3:$E$72"),4,FALSE))</f>
        <v>8</v>
      </c>
      <c r="V10" s="5">
        <f>IF(U10="","",U10+R10)</f>
        <v>43</v>
      </c>
      <c r="W10" s="5">
        <f ca="1">IF(V10="","",RANK(V10,INDIRECT("V"&amp;VLOOKUP($A10,$BA$1:$BC$3,2,FALSE)&amp;":V"&amp;VLOOKUP($A10,$BA$1:$BC$3,3,FALSE)),1))</f>
        <v>7</v>
      </c>
      <c r="X10" s="6">
        <f>IF(U10="","",RANK(V10,V$4:V$100,1))</f>
        <v>7</v>
      </c>
      <c r="Y10" s="4">
        <f ca="1">IF(ISNA(VLOOKUP($B10,INDIRECT("'"&amp;Y$2&amp;"'!$B$3:$E$72"),4,FALSE)),"",VLOOKUP($B10,INDIRECT("'"&amp;Y$2&amp;"'!$B$3:$E$72"),4,FALSE))</f>
        <v>4</v>
      </c>
      <c r="Z10" s="5">
        <f>IF(Y10="","",Y10+V10)</f>
        <v>47</v>
      </c>
      <c r="AA10" s="5">
        <f ca="1">IF(Z10="","",RANK(Z10,INDIRECT("Z"&amp;VLOOKUP($A10,$BA$1:$BC$3,2,FALSE)&amp;":Z"&amp;VLOOKUP($A10,$BA$1:$BC$3,3,FALSE)),1))</f>
        <v>6</v>
      </c>
      <c r="AB10" s="6">
        <f>IF(Y10="","",RANK(Z10,Z$4:Z$100,1))</f>
        <v>6</v>
      </c>
      <c r="AC10" s="4">
        <f ca="1">IF(ISNA(VLOOKUP($B10,INDIRECT("'"&amp;AC$2&amp;"'!$B$3:$E$72"),4,FALSE)),"",VLOOKUP($B10,INDIRECT("'"&amp;AC$2&amp;"'!$B$3:$E$72"),4,FALSE))</f>
        <v>7</v>
      </c>
      <c r="AD10" s="5">
        <f>IF(AC10="","",AC10+Z10)</f>
        <v>54</v>
      </c>
      <c r="AE10" s="5">
        <f ca="1">IF(AD10="","",RANK(AD10,INDIRECT("AD"&amp;VLOOKUP($A10,$BA$1:$BC$3,2,FALSE)&amp;":AD"&amp;VLOOKUP($A10,$BA$1:$BC$3,3,FALSE)),1))</f>
        <v>6</v>
      </c>
      <c r="AF10" s="6">
        <f>IF(AC10="","",RANK(AD10,AD$4:AD$100,1))</f>
        <v>6</v>
      </c>
      <c r="AG10" s="4">
        <f ca="1">IF(ISNA(VLOOKUP($B10,INDIRECT("'"&amp;AG$2&amp;"'!$B$3:$E$72"),4,FALSE)),"",VLOOKUP($B10,INDIRECT("'"&amp;AG$2&amp;"'!$B$3:$E$72"),4,FALSE))</f>
        <v>3</v>
      </c>
      <c r="AH10" s="5">
        <f>IF(AG10="","",AG10+AD10)</f>
        <v>57</v>
      </c>
      <c r="AI10" s="5">
        <f ca="1">IF(AH10="","",RANK(AH10,INDIRECT("AH"&amp;VLOOKUP($A10,$BA$1:$BC$3,2,FALSE)&amp;":AH"&amp;VLOOKUP($A10,$BA$1:$BC$3,3,FALSE)),1))</f>
        <v>4</v>
      </c>
      <c r="AJ10" s="6">
        <f>IF(AG10="","",RANK(AH10,AH$4:AH$100,1))</f>
        <v>4</v>
      </c>
      <c r="AK10" s="4">
        <f ca="1">IF(ISNA(VLOOKUP($B10,INDIRECT("'"&amp;AK$2&amp;"'!$B$3:$E$72"),4,FALSE)),"",VLOOKUP($B10,INDIRECT("'"&amp;AK$2&amp;"'!$B$3:$E$72"),4,FALSE))</f>
        <v>31</v>
      </c>
      <c r="AL10" s="5">
        <f>IF(AK10="","",AK10+AH10)</f>
        <v>88</v>
      </c>
      <c r="AM10" s="5">
        <f ca="1">IF(AL10="","",RANK(AL10,INDIRECT("AL"&amp;VLOOKUP($A10,$BA$1:$BC$3,2,FALSE)&amp;":AL"&amp;VLOOKUP($A10,$BA$1:$BC$3,3,FALSE)),1))</f>
        <v>8</v>
      </c>
      <c r="AN10" s="6">
        <f>IF(AK10="","",RANK(AL10,AL$4:AL$100,1))</f>
        <v>8</v>
      </c>
      <c r="AO10" s="4">
        <f ca="1">IF(ISNA(VLOOKUP($B10,INDIRECT("'"&amp;AO$2&amp;"'!$B$3:$E$72"),4,FALSE)),"",VLOOKUP($B10,INDIRECT("'"&amp;AO$2&amp;"'!$B$3:$E$72"),4,FALSE))</f>
        <v>5</v>
      </c>
      <c r="AP10" s="5">
        <f>IF(AO10="","",AO10+AL10)</f>
        <v>93</v>
      </c>
      <c r="AQ10" s="5">
        <f ca="1">IF(AP10="","",RANK(AP10,INDIRECT("AP"&amp;VLOOKUP($A10,$BA$1:$BC$3,2,FALSE)&amp;":AP"&amp;VLOOKUP($A10,$BA$1:$BC$3,3,FALSE)),1))</f>
        <v>7</v>
      </c>
      <c r="AR10" s="6">
        <f>IF(AO10="","",RANK(AP10,AP$4:AP$100,1))</f>
        <v>7</v>
      </c>
      <c r="AT10" s="4">
        <f>SUM(G10,I10,M10,Q10,U10,Y10,AC10,AG10,AK10,AO10)</f>
        <v>93</v>
      </c>
      <c r="AU10" s="5">
        <f ca="1">RANK(AT10,INDIRECT("AT"&amp;VLOOKUP($A10,$BA$1:$BC$3,2,FALSE)&amp;":AT"&amp;VLOOKUP($A10,$BA$1:$BC$3,3,FALSE)),1)</f>
        <v>7</v>
      </c>
      <c r="AV10" s="5">
        <f>RANK(AT10,$AT$4:$AT$100,1)</f>
        <v>7</v>
      </c>
      <c r="AW10" s="4">
        <f>MIN(G10,I10,M10,Q10,U10,Y10,AC10,AG10,AK10,AO10)</f>
        <v>1</v>
      </c>
      <c r="AX10" s="5">
        <f>MAX(G10,I10,M10,Q10,U10,Y10,AC10,AG10,AK10,AO10)</f>
        <v>31</v>
      </c>
      <c r="AY10" s="6">
        <f>MEDIAN(G10,I10,M10,Q10,U10,Y10,AC10,AG10,AK10,AO10)</f>
        <v>6.5</v>
      </c>
    </row>
    <row r="11" spans="1:51" ht="15.75">
      <c r="A11" s="14" t="s">
        <v>3</v>
      </c>
      <c r="B11" s="14">
        <v>32</v>
      </c>
      <c r="C11" s="40" t="str">
        <f>IF(ISBLANK(B11),"",VLOOKUP(B11,Entries!$A$4:$C$65,3,FALSE))</f>
        <v>Grange Farm A</v>
      </c>
      <c r="D11" s="4">
        <f>IF(AT11=0,"",AT11)</f>
        <v>97</v>
      </c>
      <c r="E11" s="5">
        <f ca="1">IF(OR(ISBLANK(D11),D11=0,D11=""),"",RANK(D11,INDIRECT("D"&amp;VLOOKUP($A11,$BA$1:$BC$3,2,FALSE)&amp;":D"&amp;VLOOKUP($A11,$BA$1:$BC$3,3,FALSE)),1))</f>
        <v>8</v>
      </c>
      <c r="F11" s="5">
        <f>IF(OR(ISBLANK(D11),D11=0,D11=""),"",RANK(D11,$D$4:$D$100,1))</f>
        <v>8</v>
      </c>
      <c r="G11" s="4">
        <f ca="1">IF(ISNA(VLOOKUP($B11,INDIRECT("'"&amp;G$2&amp;"'!$B$3:$E$72"),4,FALSE)),"",VLOOKUP($B11,INDIRECT("'"&amp;G$2&amp;"'!$B$3:$E$72"),4,FALSE))</f>
        <v>10</v>
      </c>
      <c r="H11" s="5">
        <f ca="1">IF(G11="","",RANK(G11,INDIRECT("G"&amp;VLOOKUP($A11,$BA$1:$BC$3,2,FALSE)&amp;":G"&amp;VLOOKUP($A11,$BA$1:$BC$3,3,FALSE)),1))</f>
        <v>9</v>
      </c>
      <c r="I11" s="4">
        <f ca="1">IF(ISNA(VLOOKUP($B11,INDIRECT("'"&amp;I$2&amp;"'!$B$3:$E$72"),4,FALSE)),"",VLOOKUP($B11,INDIRECT("'"&amp;I$2&amp;"'!$B$3:$E$72"),4,FALSE))</f>
        <v>5</v>
      </c>
      <c r="J11" s="5">
        <f>IF(I11="","",G11+I11)</f>
        <v>15</v>
      </c>
      <c r="K11" s="5">
        <f ca="1">IF(J11="","",RANK(J11,INDIRECT("J"&amp;VLOOKUP($A11,$BA$1:$BC$3,2,FALSE)&amp;":J"&amp;VLOOKUP($A11,$BA$1:$BC$3,3,FALSE)),1))</f>
        <v>5</v>
      </c>
      <c r="L11" s="6">
        <f>IF(I11="","",RANK(J11,J$4:J$100,1))</f>
        <v>5</v>
      </c>
      <c r="M11" s="4">
        <f ca="1">IF(ISNA(VLOOKUP($B11,INDIRECT("'"&amp;M$2&amp;"'!$B$3:$E$72"),4,FALSE)),"",VLOOKUP($B11,INDIRECT("'"&amp;M$2&amp;"'!$B$3:$E$72"),4,FALSE))</f>
        <v>9</v>
      </c>
      <c r="N11" s="5">
        <f>IF(M11="","",M11+J11)</f>
        <v>24</v>
      </c>
      <c r="O11" s="5">
        <f ca="1">IF(N11="","",RANK(N11,INDIRECT("N"&amp;VLOOKUP($A11,$BA$1:$BC$3,2,FALSE)&amp;":N"&amp;VLOOKUP($A11,$BA$1:$BC$3,3,FALSE)),1))</f>
        <v>7</v>
      </c>
      <c r="P11" s="6">
        <f>IF(M11="","",RANK(N11,N$4:N$100,1))</f>
        <v>7</v>
      </c>
      <c r="Q11" s="4">
        <f ca="1">IF(ISNA(VLOOKUP($B11,INDIRECT("'"&amp;Q$2&amp;"'!$B$3:$E$72"),4,FALSE)),"",VLOOKUP($B11,INDIRECT("'"&amp;Q$2&amp;"'!$B$3:$E$72"),4,FALSE))</f>
        <v>6</v>
      </c>
      <c r="R11" s="5">
        <f>IF(Q11="","",Q11+N11)</f>
        <v>30</v>
      </c>
      <c r="S11" s="5">
        <f ca="1">IF(R11="","",RANK(R11,INDIRECT("R"&amp;VLOOKUP($A11,$BA$1:$BC$3,2,FALSE)&amp;":R"&amp;VLOOKUP($A11,$BA$1:$BC$3,3,FALSE)),1))</f>
        <v>6</v>
      </c>
      <c r="T11" s="6">
        <f>IF(Q11="","",RANK(R11,R$4:R$100,1))</f>
        <v>6</v>
      </c>
      <c r="U11" s="4">
        <f ca="1">IF(ISNA(VLOOKUP($B11,INDIRECT("'"&amp;U$2&amp;"'!$B$3:$E$72"),4,FALSE)),"",VLOOKUP($B11,INDIRECT("'"&amp;U$2&amp;"'!$B$3:$E$72"),4,FALSE))</f>
        <v>11</v>
      </c>
      <c r="V11" s="5">
        <f>IF(U11="","",U11+R11)</f>
        <v>41</v>
      </c>
      <c r="W11" s="5">
        <f ca="1">IF(V11="","",RANK(V11,INDIRECT("V"&amp;VLOOKUP($A11,$BA$1:$BC$3,2,FALSE)&amp;":V"&amp;VLOOKUP($A11,$BA$1:$BC$3,3,FALSE)),1))</f>
        <v>6</v>
      </c>
      <c r="X11" s="6">
        <f>IF(U11="","",RANK(V11,V$4:V$100,1))</f>
        <v>6</v>
      </c>
      <c r="Y11" s="4">
        <f ca="1">IF(ISNA(VLOOKUP($B11,INDIRECT("'"&amp;Y$2&amp;"'!$B$3:$E$72"),4,FALSE)),"",VLOOKUP($B11,INDIRECT("'"&amp;Y$2&amp;"'!$B$3:$E$72"),4,FALSE))</f>
        <v>13</v>
      </c>
      <c r="Z11" s="5">
        <f>IF(Y11="","",Y11+V11)</f>
        <v>54</v>
      </c>
      <c r="AA11" s="5">
        <f ca="1">IF(Z11="","",RANK(Z11,INDIRECT("Z"&amp;VLOOKUP($A11,$BA$1:$BC$3,2,FALSE)&amp;":Z"&amp;VLOOKUP($A11,$BA$1:$BC$3,3,FALSE)),1))</f>
        <v>7</v>
      </c>
      <c r="AB11" s="6">
        <f>IF(Y11="","",RANK(Z11,Z$4:Z$100,1))</f>
        <v>7</v>
      </c>
      <c r="AC11" s="4">
        <f ca="1">IF(ISNA(VLOOKUP($B11,INDIRECT("'"&amp;AC$2&amp;"'!$B$3:$E$72"),4,FALSE)),"",VLOOKUP($B11,INDIRECT("'"&amp;AC$2&amp;"'!$B$3:$E$72"),4,FALSE))</f>
        <v>11</v>
      </c>
      <c r="AD11" s="5">
        <f>IF(AC11="","",AC11+Z11)</f>
        <v>65</v>
      </c>
      <c r="AE11" s="5">
        <f ca="1">IF(AD11="","",RANK(AD11,INDIRECT("AD"&amp;VLOOKUP($A11,$BA$1:$BC$3,2,FALSE)&amp;":AD"&amp;VLOOKUP($A11,$BA$1:$BC$3,3,FALSE)),1))</f>
        <v>7</v>
      </c>
      <c r="AF11" s="6">
        <f>IF(AC11="","",RANK(AD11,AD$4:AD$100,1))</f>
        <v>7</v>
      </c>
      <c r="AG11" s="4">
        <f ca="1">IF(ISNA(VLOOKUP($B11,INDIRECT("'"&amp;AG$2&amp;"'!$B$3:$E$72"),4,FALSE)),"",VLOOKUP($B11,INDIRECT("'"&amp;AG$2&amp;"'!$B$3:$E$72"),4,FALSE))</f>
        <v>15</v>
      </c>
      <c r="AH11" s="5">
        <f>IF(AG11="","",AG11+AD11)</f>
        <v>80</v>
      </c>
      <c r="AI11" s="5">
        <f ca="1">IF(AH11="","",RANK(AH11,INDIRECT("AH"&amp;VLOOKUP($A11,$BA$1:$BC$3,2,FALSE)&amp;":AH"&amp;VLOOKUP($A11,$BA$1:$BC$3,3,FALSE)),1))</f>
        <v>8</v>
      </c>
      <c r="AJ11" s="6">
        <f>IF(AG11="","",RANK(AH11,AH$4:AH$100,1))</f>
        <v>8</v>
      </c>
      <c r="AK11" s="4">
        <f ca="1">IF(ISNA(VLOOKUP($B11,INDIRECT("'"&amp;AK$2&amp;"'!$B$3:$E$72"),4,FALSE)),"",VLOOKUP($B11,INDIRECT("'"&amp;AK$2&amp;"'!$B$3:$E$72"),4,FALSE))</f>
        <v>6</v>
      </c>
      <c r="AL11" s="5">
        <f>IF(AK11="","",AK11+AH11)</f>
        <v>86</v>
      </c>
      <c r="AM11" s="5">
        <f ca="1">IF(AL11="","",RANK(AL11,INDIRECT("AL"&amp;VLOOKUP($A11,$BA$1:$BC$3,2,FALSE)&amp;":AL"&amp;VLOOKUP($A11,$BA$1:$BC$3,3,FALSE)),1))</f>
        <v>7</v>
      </c>
      <c r="AN11" s="6">
        <f>IF(AK11="","",RANK(AL11,AL$4:AL$100,1))</f>
        <v>7</v>
      </c>
      <c r="AO11" s="4">
        <f ca="1">IF(ISNA(VLOOKUP($B11,INDIRECT("'"&amp;AO$2&amp;"'!$B$3:$E$72"),4,FALSE)),"",VLOOKUP($B11,INDIRECT("'"&amp;AO$2&amp;"'!$B$3:$E$72"),4,FALSE))</f>
        <v>11</v>
      </c>
      <c r="AP11" s="5">
        <f>IF(AO11="","",AO11+AL11)</f>
        <v>97</v>
      </c>
      <c r="AQ11" s="5">
        <f ca="1">IF(AP11="","",RANK(AP11,INDIRECT("AP"&amp;VLOOKUP($A11,$BA$1:$BC$3,2,FALSE)&amp;":AP"&amp;VLOOKUP($A11,$BA$1:$BC$3,3,FALSE)),1))</f>
        <v>8</v>
      </c>
      <c r="AR11" s="6">
        <f>IF(AO11="","",RANK(AP11,AP$4:AP$100,1))</f>
        <v>8</v>
      </c>
      <c r="AT11" s="4">
        <f>SUM(G11,I11,M11,Q11,U11,Y11,AC11,AG11,AK11,AO11)</f>
        <v>97</v>
      </c>
      <c r="AU11" s="5">
        <f ca="1">RANK(AT11,INDIRECT("AT"&amp;VLOOKUP($A11,$BA$1:$BC$3,2,FALSE)&amp;":AT"&amp;VLOOKUP($A11,$BA$1:$BC$3,3,FALSE)),1)</f>
        <v>8</v>
      </c>
      <c r="AV11" s="5">
        <f>RANK(AT11,$AT$4:$AT$100,1)</f>
        <v>8</v>
      </c>
      <c r="AW11" s="4">
        <f>MIN(G11,I11,M11,Q11,U11,Y11,AC11,AG11,AK11,AO11)</f>
        <v>5</v>
      </c>
      <c r="AX11" s="5">
        <f>MAX(G11,I11,M11,Q11,U11,Y11,AC11,AG11,AK11,AO11)</f>
        <v>15</v>
      </c>
      <c r="AY11" s="6">
        <f>MEDIAN(G11,I11,M11,Q11,U11,Y11,AC11,AG11,AK11,AO11)</f>
        <v>10.5</v>
      </c>
    </row>
    <row r="12" spans="1:51" ht="15.75">
      <c r="A12" s="14" t="s">
        <v>3</v>
      </c>
      <c r="B12" s="41">
        <v>5</v>
      </c>
      <c r="C12" s="40" t="str">
        <f>IF(ISBLANK(B12),"",VLOOKUP(B12,Entries!$A$4:$C$65,3,FALSE))</f>
        <v>Tiptree Men</v>
      </c>
      <c r="D12" s="4">
        <f>IF(AT12=0,"",AT12)</f>
        <v>116</v>
      </c>
      <c r="E12" s="5">
        <f ca="1">IF(OR(ISBLANK(D12),D12=0,D12=""),"",RANK(D12,INDIRECT("D"&amp;VLOOKUP($A12,$BA$1:$BC$3,2,FALSE)&amp;":D"&amp;VLOOKUP($A12,$BA$1:$BC$3,3,FALSE)),1))</f>
        <v>9</v>
      </c>
      <c r="F12" s="5">
        <f>IF(OR(ISBLANK(D12),D12=0,D12=""),"",RANK(D12,$D$4:$D$100,1))</f>
        <v>9</v>
      </c>
      <c r="G12" s="4">
        <f ca="1">IF(ISNA(VLOOKUP($B12,INDIRECT("'"&amp;G$2&amp;"'!$B$3:$E$72"),4,FALSE)),"",VLOOKUP($B12,INDIRECT("'"&amp;G$2&amp;"'!$B$3:$E$72"),4,FALSE))</f>
        <v>9</v>
      </c>
      <c r="H12" s="5">
        <f ca="1">IF(G12="","",RANK(G12,INDIRECT("G"&amp;VLOOKUP($A12,$BA$1:$BC$3,2,FALSE)&amp;":G"&amp;VLOOKUP($A12,$BA$1:$BC$3,3,FALSE)),1))</f>
        <v>8</v>
      </c>
      <c r="I12" s="4">
        <f ca="1">IF(ISNA(VLOOKUP($B12,INDIRECT("'"&amp;I$2&amp;"'!$B$3:$E$72"),4,FALSE)),"",VLOOKUP($B12,INDIRECT("'"&amp;I$2&amp;"'!$B$3:$E$72"),4,FALSE))</f>
        <v>18</v>
      </c>
      <c r="J12" s="5">
        <f>IF(I12="","",G12+I12)</f>
        <v>27</v>
      </c>
      <c r="K12" s="5">
        <f ca="1">IF(J12="","",RANK(J12,INDIRECT("J"&amp;VLOOKUP($A12,$BA$1:$BC$3,2,FALSE)&amp;":J"&amp;VLOOKUP($A12,$BA$1:$BC$3,3,FALSE)),1))</f>
        <v>10</v>
      </c>
      <c r="L12" s="6">
        <f>IF(I12="","",RANK(J12,J$4:J$100,1))</f>
        <v>11</v>
      </c>
      <c r="M12" s="4">
        <f ca="1">IF(ISNA(VLOOKUP($B12,INDIRECT("'"&amp;M$2&amp;"'!$B$3:$E$72"),4,FALSE)),"",VLOOKUP($B12,INDIRECT("'"&amp;M$2&amp;"'!$B$3:$E$72"),4,FALSE))</f>
        <v>3</v>
      </c>
      <c r="N12" s="5">
        <f>IF(M12="","",M12+J12)</f>
        <v>30</v>
      </c>
      <c r="O12" s="5">
        <f ca="1">IF(N12="","",RANK(N12,INDIRECT("N"&amp;VLOOKUP($A12,$BA$1:$BC$3,2,FALSE)&amp;":N"&amp;VLOOKUP($A12,$BA$1:$BC$3,3,FALSE)),1))</f>
        <v>8</v>
      </c>
      <c r="P12" s="6">
        <f>IF(M12="","",RANK(N12,N$4:N$100,1))</f>
        <v>8</v>
      </c>
      <c r="Q12" s="4">
        <f ca="1">IF(ISNA(VLOOKUP($B12,INDIRECT("'"&amp;Q$2&amp;"'!$B$3:$E$72"),4,FALSE)),"",VLOOKUP($B12,INDIRECT("'"&amp;Q$2&amp;"'!$B$3:$E$72"),4,FALSE))</f>
        <v>9</v>
      </c>
      <c r="R12" s="5">
        <f>IF(Q12="","",Q12+N12)</f>
        <v>39</v>
      </c>
      <c r="S12" s="5">
        <f ca="1">IF(R12="","",RANK(R12,INDIRECT("R"&amp;VLOOKUP($A12,$BA$1:$BC$3,2,FALSE)&amp;":R"&amp;VLOOKUP($A12,$BA$1:$BC$3,3,FALSE)),1))</f>
        <v>9</v>
      </c>
      <c r="T12" s="6">
        <f>IF(Q12="","",RANK(R12,R$4:R$100,1))</f>
        <v>9</v>
      </c>
      <c r="U12" s="4">
        <f ca="1">IF(ISNA(VLOOKUP($B12,INDIRECT("'"&amp;U$2&amp;"'!$B$3:$E$72"),4,FALSE)),"",VLOOKUP($B12,INDIRECT("'"&amp;U$2&amp;"'!$B$3:$E$72"),4,FALSE))</f>
        <v>17</v>
      </c>
      <c r="V12" s="5">
        <f>IF(U12="","",U12+R12)</f>
        <v>56</v>
      </c>
      <c r="W12" s="5">
        <f ca="1">IF(V12="","",RANK(V12,INDIRECT("V"&amp;VLOOKUP($A12,$BA$1:$BC$3,2,FALSE)&amp;":V"&amp;VLOOKUP($A12,$BA$1:$BC$3,3,FALSE)),1))</f>
        <v>9</v>
      </c>
      <c r="X12" s="6">
        <f>IF(U12="","",RANK(V12,V$4:V$100,1))</f>
        <v>9</v>
      </c>
      <c r="Y12" s="4">
        <f ca="1">IF(ISNA(VLOOKUP($B12,INDIRECT("'"&amp;Y$2&amp;"'!$B$3:$E$72"),4,FALSE)),"",VLOOKUP($B12,INDIRECT("'"&amp;Y$2&amp;"'!$B$3:$E$72"),4,FALSE))</f>
        <v>11</v>
      </c>
      <c r="Z12" s="5">
        <f>IF(Y12="","",Y12+V12)</f>
        <v>67</v>
      </c>
      <c r="AA12" s="5">
        <f ca="1">IF(Z12="","",RANK(Z12,INDIRECT("Z"&amp;VLOOKUP($A12,$BA$1:$BC$3,2,FALSE)&amp;":Z"&amp;VLOOKUP($A12,$BA$1:$BC$3,3,FALSE)),1))</f>
        <v>9</v>
      </c>
      <c r="AB12" s="6">
        <f>IF(Y12="","",RANK(Z12,Z$4:Z$100,1))</f>
        <v>9</v>
      </c>
      <c r="AC12" s="4">
        <f ca="1">IF(ISNA(VLOOKUP($B12,INDIRECT("'"&amp;AC$2&amp;"'!$B$3:$E$72"),4,FALSE)),"",VLOOKUP($B12,INDIRECT("'"&amp;AC$2&amp;"'!$B$3:$E$72"),4,FALSE))</f>
        <v>17</v>
      </c>
      <c r="AD12" s="5">
        <f>IF(AC12="","",AC12+Z12)</f>
        <v>84</v>
      </c>
      <c r="AE12" s="5">
        <f ca="1">IF(AD12="","",RANK(AD12,INDIRECT("AD"&amp;VLOOKUP($A12,$BA$1:$BC$3,2,FALSE)&amp;":AD"&amp;VLOOKUP($A12,$BA$1:$BC$3,3,FALSE)),1))</f>
        <v>9</v>
      </c>
      <c r="AF12" s="6">
        <f>IF(AC12="","",RANK(AD12,AD$4:AD$100,1))</f>
        <v>9</v>
      </c>
      <c r="AG12" s="4">
        <f ca="1">IF(ISNA(VLOOKUP($B12,INDIRECT("'"&amp;AG$2&amp;"'!$B$3:$E$72"),4,FALSE)),"",VLOOKUP($B12,INDIRECT("'"&amp;AG$2&amp;"'!$B$3:$E$72"),4,FALSE))</f>
        <v>20</v>
      </c>
      <c r="AH12" s="5">
        <f>IF(AG12="","",AG12+AD12)</f>
        <v>104</v>
      </c>
      <c r="AI12" s="5">
        <f ca="1">IF(AH12="","",RANK(AH12,INDIRECT("AH"&amp;VLOOKUP($A12,$BA$1:$BC$3,2,FALSE)&amp;":AH"&amp;VLOOKUP($A12,$BA$1:$BC$3,3,FALSE)),1))</f>
        <v>10</v>
      </c>
      <c r="AJ12" s="6">
        <f>IF(AG12="","",RANK(AH12,AH$4:AH$100,1))</f>
        <v>10</v>
      </c>
      <c r="AK12" s="4">
        <f ca="1">IF(ISNA(VLOOKUP($B12,INDIRECT("'"&amp;AK$2&amp;"'!$B$3:$E$72"),4,FALSE)),"",VLOOKUP($B12,INDIRECT("'"&amp;AK$2&amp;"'!$B$3:$E$72"),4,FALSE))</f>
        <v>5</v>
      </c>
      <c r="AL12" s="5">
        <f>IF(AK12="","",AK12+AH12)</f>
        <v>109</v>
      </c>
      <c r="AM12" s="5">
        <f ca="1">IF(AL12="","",RANK(AL12,INDIRECT("AL"&amp;VLOOKUP($A12,$BA$1:$BC$3,2,FALSE)&amp;":AL"&amp;VLOOKUP($A12,$BA$1:$BC$3,3,FALSE)),1))</f>
        <v>9</v>
      </c>
      <c r="AN12" s="6">
        <f>IF(AK12="","",RANK(AL12,AL$4:AL$100,1))</f>
        <v>9</v>
      </c>
      <c r="AO12" s="4">
        <f ca="1">IF(ISNA(VLOOKUP($B12,INDIRECT("'"&amp;AO$2&amp;"'!$B$3:$E$72"),4,FALSE)),"",VLOOKUP($B12,INDIRECT("'"&amp;AO$2&amp;"'!$B$3:$E$72"),4,FALSE))</f>
        <v>7</v>
      </c>
      <c r="AP12" s="5">
        <f>IF(AO12="","",AO12+AL12)</f>
        <v>116</v>
      </c>
      <c r="AQ12" s="5">
        <f ca="1">IF(AP12="","",RANK(AP12,INDIRECT("AP"&amp;VLOOKUP($A12,$BA$1:$BC$3,2,FALSE)&amp;":AP"&amp;VLOOKUP($A12,$BA$1:$BC$3,3,FALSE)),1))</f>
        <v>9</v>
      </c>
      <c r="AR12" s="6">
        <f>IF(AO12="","",RANK(AP12,AP$4:AP$100,1))</f>
        <v>9</v>
      </c>
      <c r="AT12" s="4">
        <f>SUM(G12,I12,M12,Q12,U12,Y12,AC12,AG12,AK12,AO12)</f>
        <v>116</v>
      </c>
      <c r="AU12" s="5">
        <f ca="1">RANK(AT12,INDIRECT("AT"&amp;VLOOKUP($A12,$BA$1:$BC$3,2,FALSE)&amp;":AT"&amp;VLOOKUP($A12,$BA$1:$BC$3,3,FALSE)),1)</f>
        <v>9</v>
      </c>
      <c r="AV12" s="5">
        <f>RANK(AT12,$AT$4:$AT$100,1)</f>
        <v>9</v>
      </c>
      <c r="AW12" s="4">
        <f>MIN(G12,I12,M12,Q12,U12,Y12,AC12,AG12,AK12,AO12)</f>
        <v>3</v>
      </c>
      <c r="AX12" s="5">
        <f>MAX(G12,I12,M12,Q12,U12,Y12,AC12,AG12,AK12,AO12)</f>
        <v>20</v>
      </c>
      <c r="AY12" s="6">
        <f>MEDIAN(G12,I12,M12,Q12,U12,Y12,AC12,AG12,AK12,AO12)</f>
        <v>10</v>
      </c>
    </row>
    <row r="13" spans="1:51" ht="15.75">
      <c r="A13" s="14" t="s">
        <v>3</v>
      </c>
      <c r="B13" s="14">
        <v>26</v>
      </c>
      <c r="C13" s="40" t="str">
        <f>IF(ISBLANK(B13),"",VLOOKUP(B13,Entries!$A$4:$C$65,3,FALSE))</f>
        <v>Harwich Runners Men</v>
      </c>
      <c r="D13" s="4">
        <f>IF(AT13=0,"",AT13)</f>
        <v>140</v>
      </c>
      <c r="E13" s="5">
        <f ca="1">IF(OR(ISBLANK(D13),D13=0,D13=""),"",RANK(D13,INDIRECT("D"&amp;VLOOKUP($A13,$BA$1:$BC$3,2,FALSE)&amp;":D"&amp;VLOOKUP($A13,$BA$1:$BC$3,3,FALSE)),1))</f>
        <v>10</v>
      </c>
      <c r="F13" s="5">
        <f>IF(OR(ISBLANK(D13),D13=0,D13=""),"",RANK(D13,$D$4:$D$100,1))</f>
        <v>11</v>
      </c>
      <c r="G13" s="4">
        <f ca="1">IF(ISNA(VLOOKUP($B13,INDIRECT("'"&amp;G$2&amp;"'!$B$3:$E$72"),4,FALSE)),"",VLOOKUP($B13,INDIRECT("'"&amp;G$2&amp;"'!$B$3:$E$72"),4,FALSE))</f>
        <v>26</v>
      </c>
      <c r="H13" s="5">
        <f ca="1">IF(G13="","",RANK(G13,INDIRECT("G"&amp;VLOOKUP($A13,$BA$1:$BC$3,2,FALSE)&amp;":G"&amp;VLOOKUP($A13,$BA$1:$BC$3,3,FALSE)),1))</f>
        <v>21</v>
      </c>
      <c r="I13" s="4">
        <f ca="1">IF(ISNA(VLOOKUP($B13,INDIRECT("'"&amp;I$2&amp;"'!$B$3:$E$72"),4,FALSE)),"",VLOOKUP($B13,INDIRECT("'"&amp;I$2&amp;"'!$B$3:$E$72"),4,FALSE))</f>
        <v>13</v>
      </c>
      <c r="J13" s="5">
        <f>IF(I13="","",G13+I13)</f>
        <v>39</v>
      </c>
      <c r="K13" s="5">
        <f ca="1">IF(J13="","",RANK(J13,INDIRECT("J"&amp;VLOOKUP($A13,$BA$1:$BC$3,2,FALSE)&amp;":J"&amp;VLOOKUP($A13,$BA$1:$BC$3,3,FALSE)),1))</f>
        <v>15</v>
      </c>
      <c r="L13" s="6">
        <f>IF(I13="","",RANK(J13,J$4:J$100,1))</f>
        <v>18</v>
      </c>
      <c r="M13" s="4">
        <f ca="1">IF(ISNA(VLOOKUP($B13,INDIRECT("'"&amp;M$2&amp;"'!$B$3:$E$72"),4,FALSE)),"",VLOOKUP($B13,INDIRECT("'"&amp;M$2&amp;"'!$B$3:$E$72"),4,FALSE))</f>
        <v>23</v>
      </c>
      <c r="N13" s="5">
        <f>IF(M13="","",M13+J13)</f>
        <v>62</v>
      </c>
      <c r="O13" s="5">
        <f ca="1">IF(N13="","",RANK(N13,INDIRECT("N"&amp;VLOOKUP($A13,$BA$1:$BC$3,2,FALSE)&amp;":N"&amp;VLOOKUP($A13,$BA$1:$BC$3,3,FALSE)),1))</f>
        <v>15</v>
      </c>
      <c r="P13" s="6">
        <f>IF(M13="","",RANK(N13,N$4:N$100,1))</f>
        <v>18</v>
      </c>
      <c r="Q13" s="4">
        <f ca="1">IF(ISNA(VLOOKUP($B13,INDIRECT("'"&amp;Q$2&amp;"'!$B$3:$E$72"),4,FALSE)),"",VLOOKUP($B13,INDIRECT("'"&amp;Q$2&amp;"'!$B$3:$E$72"),4,FALSE))</f>
        <v>29</v>
      </c>
      <c r="R13" s="5">
        <f>IF(Q13="","",Q13+N13)</f>
        <v>91</v>
      </c>
      <c r="S13" s="5">
        <f ca="1">IF(R13="","",RANK(R13,INDIRECT("R"&amp;VLOOKUP($A13,$BA$1:$BC$3,2,FALSE)&amp;":R"&amp;VLOOKUP($A13,$BA$1:$BC$3,3,FALSE)),1))</f>
        <v>16</v>
      </c>
      <c r="T13" s="6">
        <f>IF(Q13="","",RANK(R13,R$4:R$100,1))</f>
        <v>19</v>
      </c>
      <c r="U13" s="4">
        <f ca="1">IF(ISNA(VLOOKUP($B13,INDIRECT("'"&amp;U$2&amp;"'!$B$3:$E$72"),4,FALSE)),"",VLOOKUP($B13,INDIRECT("'"&amp;U$2&amp;"'!$B$3:$E$72"),4,FALSE))</f>
        <v>2</v>
      </c>
      <c r="V13" s="5">
        <f>IF(U13="","",U13+R13)</f>
        <v>93</v>
      </c>
      <c r="W13" s="5">
        <f ca="1">IF(V13="","",RANK(V13,INDIRECT("V"&amp;VLOOKUP($A13,$BA$1:$BC$3,2,FALSE)&amp;":V"&amp;VLOOKUP($A13,$BA$1:$BC$3,3,FALSE)),1))</f>
        <v>13</v>
      </c>
      <c r="X13" s="6">
        <f>IF(U13="","",RANK(V13,V$4:V$100,1))</f>
        <v>15</v>
      </c>
      <c r="Y13" s="4">
        <f ca="1">IF(ISNA(VLOOKUP($B13,INDIRECT("'"&amp;Y$2&amp;"'!$B$3:$E$72"),4,FALSE)),"",VLOOKUP($B13,INDIRECT("'"&amp;Y$2&amp;"'!$B$3:$E$72"),4,FALSE))</f>
        <v>2</v>
      </c>
      <c r="Z13" s="5">
        <f>IF(Y13="","",Y13+V13)</f>
        <v>95</v>
      </c>
      <c r="AA13" s="5">
        <f ca="1">IF(Z13="","",RANK(Z13,INDIRECT("Z"&amp;VLOOKUP($A13,$BA$1:$BC$3,2,FALSE)&amp;":Z"&amp;VLOOKUP($A13,$BA$1:$BC$3,3,FALSE)),1))</f>
        <v>11</v>
      </c>
      <c r="AB13" s="6">
        <f>IF(Y13="","",RANK(Z13,Z$4:Z$100,1))</f>
        <v>12</v>
      </c>
      <c r="AC13" s="4">
        <f ca="1">IF(ISNA(VLOOKUP($B13,INDIRECT("'"&amp;AC$2&amp;"'!$B$3:$E$72"),4,FALSE)),"",VLOOKUP($B13,INDIRECT("'"&amp;AC$2&amp;"'!$B$3:$E$72"),4,FALSE))</f>
        <v>29</v>
      </c>
      <c r="AD13" s="5">
        <f>IF(AC13="","",AC13+Z13)</f>
        <v>124</v>
      </c>
      <c r="AE13" s="5">
        <f ca="1">IF(AD13="","",RANK(AD13,INDIRECT("AD"&amp;VLOOKUP($A13,$BA$1:$BC$3,2,FALSE)&amp;":AD"&amp;VLOOKUP($A13,$BA$1:$BC$3,3,FALSE)),1))</f>
        <v>12</v>
      </c>
      <c r="AF13" s="6">
        <f>IF(AC13="","",RANK(AD13,AD$4:AD$100,1))</f>
        <v>15</v>
      </c>
      <c r="AG13" s="4">
        <f ca="1">IF(ISNA(VLOOKUP($B13,INDIRECT("'"&amp;AG$2&amp;"'!$B$3:$E$72"),4,FALSE)),"",VLOOKUP($B13,INDIRECT("'"&amp;AG$2&amp;"'!$B$3:$E$72"),4,FALSE))</f>
        <v>2</v>
      </c>
      <c r="AH13" s="5">
        <f>IF(AG13="","",AG13+AD13)</f>
        <v>126</v>
      </c>
      <c r="AI13" s="5">
        <f ca="1">IF(AH13="","",RANK(AH13,INDIRECT("AH"&amp;VLOOKUP($A13,$BA$1:$BC$3,2,FALSE)&amp;":AH"&amp;VLOOKUP($A13,$BA$1:$BC$3,3,FALSE)),1))</f>
        <v>11</v>
      </c>
      <c r="AJ13" s="6">
        <f>IF(AG13="","",RANK(AH13,AH$4:AH$100,1))</f>
        <v>12</v>
      </c>
      <c r="AK13" s="4">
        <f ca="1">IF(ISNA(VLOOKUP($B13,INDIRECT("'"&amp;AK$2&amp;"'!$B$3:$E$72"),4,FALSE)),"",VLOOKUP($B13,INDIRECT("'"&amp;AK$2&amp;"'!$B$3:$E$72"),4,FALSE))</f>
        <v>4</v>
      </c>
      <c r="AL13" s="5">
        <f>IF(AK13="","",AK13+AH13)</f>
        <v>130</v>
      </c>
      <c r="AM13" s="5">
        <f ca="1">IF(AL13="","",RANK(AL13,INDIRECT("AL"&amp;VLOOKUP($A13,$BA$1:$BC$3,2,FALSE)&amp;":AL"&amp;VLOOKUP($A13,$BA$1:$BC$3,3,FALSE)),1))</f>
        <v>11</v>
      </c>
      <c r="AN13" s="6">
        <f>IF(AK13="","",RANK(AL13,AL$4:AL$100,1))</f>
        <v>12</v>
      </c>
      <c r="AO13" s="4">
        <f ca="1">IF(ISNA(VLOOKUP($B13,INDIRECT("'"&amp;AO$2&amp;"'!$B$3:$E$72"),4,FALSE)),"",VLOOKUP($B13,INDIRECT("'"&amp;AO$2&amp;"'!$B$3:$E$72"),4,FALSE))</f>
        <v>10</v>
      </c>
      <c r="AP13" s="5">
        <f>IF(AO13="","",AO13+AL13)</f>
        <v>140</v>
      </c>
      <c r="AQ13" s="5">
        <f ca="1">IF(AP13="","",RANK(AP13,INDIRECT("AP"&amp;VLOOKUP($A13,$BA$1:$BC$3,2,FALSE)&amp;":AP"&amp;VLOOKUP($A13,$BA$1:$BC$3,3,FALSE)),1))</f>
        <v>10</v>
      </c>
      <c r="AR13" s="6">
        <f>IF(AO13="","",RANK(AP13,AP$4:AP$100,1))</f>
        <v>11</v>
      </c>
      <c r="AT13" s="4">
        <f>SUM(G13,I13,M13,Q13,U13,Y13,AC13,AG13,AK13,AO13)</f>
        <v>140</v>
      </c>
      <c r="AU13" s="5">
        <f ca="1">RANK(AT13,INDIRECT("AT"&amp;VLOOKUP($A13,$BA$1:$BC$3,2,FALSE)&amp;":AT"&amp;VLOOKUP($A13,$BA$1:$BC$3,3,FALSE)),1)</f>
        <v>10</v>
      </c>
      <c r="AV13" s="5">
        <f>RANK(AT13,$AT$4:$AT$100,1)</f>
        <v>11</v>
      </c>
      <c r="AW13" s="4">
        <f>MIN(G13,I13,M13,Q13,U13,Y13,AC13,AG13,AK13,AO13)</f>
        <v>2</v>
      </c>
      <c r="AX13" s="5">
        <f>MAX(G13,I13,M13,Q13,U13,Y13,AC13,AG13,AK13,AO13)</f>
        <v>29</v>
      </c>
      <c r="AY13" s="6">
        <f>MEDIAN(G13,I13,M13,Q13,U13,Y13,AC13,AG13,AK13,AO13)</f>
        <v>11.5</v>
      </c>
    </row>
    <row r="14" spans="1:51" ht="15.75">
      <c r="A14" s="14" t="s">
        <v>3</v>
      </c>
      <c r="B14" s="41">
        <v>18</v>
      </c>
      <c r="C14" s="40" t="str">
        <f>IF(ISBLANK(B14),"",VLOOKUP(B14,Entries!$A$4:$C$65,3,FALSE))</f>
        <v>Benfleet Men B</v>
      </c>
      <c r="D14" s="4">
        <f>IF(AT14=0,"",AT14)</f>
        <v>145</v>
      </c>
      <c r="E14" s="5">
        <f ca="1">IF(OR(ISBLANK(D14),D14=0,D14=""),"",RANK(D14,INDIRECT("D"&amp;VLOOKUP($A14,$BA$1:$BC$3,2,FALSE)&amp;":D"&amp;VLOOKUP($A14,$BA$1:$BC$3,3,FALSE)),1))</f>
        <v>11</v>
      </c>
      <c r="F14" s="5">
        <f>IF(OR(ISBLANK(D14),D14=0,D14=""),"",RANK(D14,$D$4:$D$100,1))</f>
        <v>12</v>
      </c>
      <c r="G14" s="4">
        <f ca="1">IF(ISNA(VLOOKUP($B14,INDIRECT("'"&amp;G$2&amp;"'!$B$3:$E$72"),4,FALSE)),"",VLOOKUP($B14,INDIRECT("'"&amp;G$2&amp;"'!$B$3:$E$72"),4,FALSE))</f>
        <v>5</v>
      </c>
      <c r="H14" s="5">
        <f ca="1">IF(G14="","",RANK(G14,INDIRECT("G"&amp;VLOOKUP($A14,$BA$1:$BC$3,2,FALSE)&amp;":G"&amp;VLOOKUP($A14,$BA$1:$BC$3,3,FALSE)),1))</f>
        <v>5</v>
      </c>
      <c r="I14" s="4">
        <f ca="1">IF(ISNA(VLOOKUP($B14,INDIRECT("'"&amp;I$2&amp;"'!$B$3:$E$72"),4,FALSE)),"",VLOOKUP($B14,INDIRECT("'"&amp;I$2&amp;"'!$B$3:$E$72"),4,FALSE))</f>
        <v>21</v>
      </c>
      <c r="J14" s="5">
        <f>IF(I14="","",G14+I14)</f>
        <v>26</v>
      </c>
      <c r="K14" s="5">
        <f ca="1">IF(J14="","",RANK(J14,INDIRECT("J"&amp;VLOOKUP($A14,$BA$1:$BC$3,2,FALSE)&amp;":J"&amp;VLOOKUP($A14,$BA$1:$BC$3,3,FALSE)),1))</f>
        <v>9</v>
      </c>
      <c r="L14" s="6">
        <f>IF(I14="","",RANK(J14,J$4:J$100,1))</f>
        <v>10</v>
      </c>
      <c r="M14" s="4">
        <f ca="1">IF(ISNA(VLOOKUP($B14,INDIRECT("'"&amp;M$2&amp;"'!$B$3:$E$72"),4,FALSE)),"",VLOOKUP($B14,INDIRECT("'"&amp;M$2&amp;"'!$B$3:$E$72"),4,FALSE))</f>
        <v>7</v>
      </c>
      <c r="N14" s="5">
        <f>IF(M14="","",M14+J14)</f>
        <v>33</v>
      </c>
      <c r="O14" s="5">
        <f ca="1">IF(N14="","",RANK(N14,INDIRECT("N"&amp;VLOOKUP($A14,$BA$1:$BC$3,2,FALSE)&amp;":N"&amp;VLOOKUP($A14,$BA$1:$BC$3,3,FALSE)),1))</f>
        <v>9</v>
      </c>
      <c r="P14" s="6">
        <f>IF(M14="","",RANK(N14,N$4:N$100,1))</f>
        <v>9</v>
      </c>
      <c r="Q14" s="4">
        <f ca="1">IF(ISNA(VLOOKUP($B14,INDIRECT("'"&amp;Q$2&amp;"'!$B$3:$E$72"),4,FALSE)),"",VLOOKUP($B14,INDIRECT("'"&amp;Q$2&amp;"'!$B$3:$E$72"),4,FALSE))</f>
        <v>5</v>
      </c>
      <c r="R14" s="5">
        <f>IF(Q14="","",Q14+N14)</f>
        <v>38</v>
      </c>
      <c r="S14" s="5">
        <f ca="1">IF(R14="","",RANK(R14,INDIRECT("R"&amp;VLOOKUP($A14,$BA$1:$BC$3,2,FALSE)&amp;":R"&amp;VLOOKUP($A14,$BA$1:$BC$3,3,FALSE)),1))</f>
        <v>8</v>
      </c>
      <c r="T14" s="6">
        <f>IF(Q14="","",RANK(R14,R$4:R$100,1))</f>
        <v>8</v>
      </c>
      <c r="U14" s="4">
        <f ca="1">IF(ISNA(VLOOKUP($B14,INDIRECT("'"&amp;U$2&amp;"'!$B$3:$E$72"),4,FALSE)),"",VLOOKUP($B14,INDIRECT("'"&amp;U$2&amp;"'!$B$3:$E$72"),4,FALSE))</f>
        <v>29</v>
      </c>
      <c r="V14" s="5">
        <f>IF(U14="","",U14+R14)</f>
        <v>67</v>
      </c>
      <c r="W14" s="5">
        <f ca="1">IF(V14="","",RANK(V14,INDIRECT("V"&amp;VLOOKUP($A14,$BA$1:$BC$3,2,FALSE)&amp;":V"&amp;VLOOKUP($A14,$BA$1:$BC$3,3,FALSE)),1))</f>
        <v>10</v>
      </c>
      <c r="X14" s="6">
        <f>IF(U14="","",RANK(V14,V$4:V$100,1))</f>
        <v>10</v>
      </c>
      <c r="Y14" s="4">
        <f ca="1">IF(ISNA(VLOOKUP($B14,INDIRECT("'"&amp;Y$2&amp;"'!$B$3:$E$72"),4,FALSE)),"",VLOOKUP($B14,INDIRECT("'"&amp;Y$2&amp;"'!$B$3:$E$72"),4,FALSE))</f>
        <v>8</v>
      </c>
      <c r="Z14" s="5">
        <f>IF(Y14="","",Y14+V14)</f>
        <v>75</v>
      </c>
      <c r="AA14" s="5">
        <f ca="1">IF(Z14="","",RANK(Z14,INDIRECT("Z"&amp;VLOOKUP($A14,$BA$1:$BC$3,2,FALSE)&amp;":Z"&amp;VLOOKUP($A14,$BA$1:$BC$3,3,FALSE)),1))</f>
        <v>10</v>
      </c>
      <c r="AB14" s="6">
        <f>IF(Y14="","",RANK(Z14,Z$4:Z$100,1))</f>
        <v>10</v>
      </c>
      <c r="AC14" s="4">
        <f ca="1">IF(ISNA(VLOOKUP($B14,INDIRECT("'"&amp;AC$2&amp;"'!$B$3:$E$72"),4,FALSE)),"",VLOOKUP($B14,INDIRECT("'"&amp;AC$2&amp;"'!$B$3:$E$72"),4,FALSE))</f>
        <v>9</v>
      </c>
      <c r="AD14" s="5">
        <f>IF(AC14="","",AC14+Z14)</f>
        <v>84</v>
      </c>
      <c r="AE14" s="5">
        <f ca="1">IF(AD14="","",RANK(AD14,INDIRECT("AD"&amp;VLOOKUP($A14,$BA$1:$BC$3,2,FALSE)&amp;":AD"&amp;VLOOKUP($A14,$BA$1:$BC$3,3,FALSE)),1))</f>
        <v>9</v>
      </c>
      <c r="AF14" s="6">
        <f>IF(AC14="","",RANK(AD14,AD$4:AD$100,1))</f>
        <v>9</v>
      </c>
      <c r="AG14" s="4">
        <f ca="1">IF(ISNA(VLOOKUP($B14,INDIRECT("'"&amp;AG$2&amp;"'!$B$3:$E$72"),4,FALSE)),"",VLOOKUP($B14,INDIRECT("'"&amp;AG$2&amp;"'!$B$3:$E$72"),4,FALSE))</f>
        <v>19</v>
      </c>
      <c r="AH14" s="5">
        <f>IF(AG14="","",AG14+AD14)</f>
        <v>103</v>
      </c>
      <c r="AI14" s="5">
        <f ca="1">IF(AH14="","",RANK(AH14,INDIRECT("AH"&amp;VLOOKUP($A14,$BA$1:$BC$3,2,FALSE)&amp;":AH"&amp;VLOOKUP($A14,$BA$1:$BC$3,3,FALSE)),1))</f>
        <v>9</v>
      </c>
      <c r="AJ14" s="6">
        <f>IF(AG14="","",RANK(AH14,AH$4:AH$100,1))</f>
        <v>9</v>
      </c>
      <c r="AK14" s="4">
        <f ca="1">IF(ISNA(VLOOKUP($B14,INDIRECT("'"&amp;AK$2&amp;"'!$B$3:$E$72"),4,FALSE)),"",VLOOKUP($B14,INDIRECT("'"&amp;AK$2&amp;"'!$B$3:$E$72"),4,FALSE))</f>
        <v>22</v>
      </c>
      <c r="AL14" s="5">
        <f>IF(AK14="","",AK14+AH14)</f>
        <v>125</v>
      </c>
      <c r="AM14" s="5">
        <f ca="1">IF(AL14="","",RANK(AL14,INDIRECT("AL"&amp;VLOOKUP($A14,$BA$1:$BC$3,2,FALSE)&amp;":AL"&amp;VLOOKUP($A14,$BA$1:$BC$3,3,FALSE)),1))</f>
        <v>10</v>
      </c>
      <c r="AN14" s="6">
        <f>IF(AK14="","",RANK(AL14,AL$4:AL$100,1))</f>
        <v>10</v>
      </c>
      <c r="AO14" s="4">
        <f ca="1">IF(ISNA(VLOOKUP($B14,INDIRECT("'"&amp;AO$2&amp;"'!$B$3:$E$72"),4,FALSE)),"",VLOOKUP($B14,INDIRECT("'"&amp;AO$2&amp;"'!$B$3:$E$72"),4,FALSE))</f>
        <v>20</v>
      </c>
      <c r="AP14" s="5">
        <f>IF(AO14="","",AO14+AL14)</f>
        <v>145</v>
      </c>
      <c r="AQ14" s="5">
        <f ca="1">IF(AP14="","",RANK(AP14,INDIRECT("AP"&amp;VLOOKUP($A14,$BA$1:$BC$3,2,FALSE)&amp;":AP"&amp;VLOOKUP($A14,$BA$1:$BC$3,3,FALSE)),1))</f>
        <v>11</v>
      </c>
      <c r="AR14" s="6">
        <f>IF(AO14="","",RANK(AP14,AP$4:AP$100,1))</f>
        <v>12</v>
      </c>
      <c r="AT14" s="4">
        <f>SUM(G14,I14,M14,Q14,U14,Y14,AC14,AG14,AK14,AO14)</f>
        <v>145</v>
      </c>
      <c r="AU14" s="5">
        <f ca="1">RANK(AT14,INDIRECT("AT"&amp;VLOOKUP($A14,$BA$1:$BC$3,2,FALSE)&amp;":AT"&amp;VLOOKUP($A14,$BA$1:$BC$3,3,FALSE)),1)</f>
        <v>11</v>
      </c>
      <c r="AV14" s="5">
        <f>RANK(AT14,$AT$4:$AT$100,1)</f>
        <v>12</v>
      </c>
      <c r="AW14" s="4">
        <f>MIN(G14,I14,M14,Q14,U14,Y14,AC14,AG14,AK14,AO14)</f>
        <v>5</v>
      </c>
      <c r="AX14" s="5">
        <f>MAX(G14,I14,M14,Q14,U14,Y14,AC14,AG14,AK14,AO14)</f>
        <v>29</v>
      </c>
      <c r="AY14" s="6">
        <f>MEDIAN(G14,I14,M14,Q14,U14,Y14,AC14,AG14,AK14,AO14)</f>
        <v>14</v>
      </c>
    </row>
    <row r="15" spans="1:51" ht="15.75">
      <c r="A15" s="14" t="s">
        <v>3</v>
      </c>
      <c r="B15" s="41">
        <v>10</v>
      </c>
      <c r="C15" s="40" t="str">
        <f>IF(ISBLANK(B15),"",VLOOKUP(B15,Entries!$A$4:$C$65,3,FALSE))</f>
        <v>Colchester Harriers - Colchester Allsorts</v>
      </c>
      <c r="D15" s="4">
        <f>IF(AT15=0,"",AT15)</f>
        <v>194</v>
      </c>
      <c r="E15" s="5">
        <f ca="1">IF(OR(ISBLANK(D15),D15=0,D15=""),"",RANK(D15,INDIRECT("D"&amp;VLOOKUP($A15,$BA$1:$BC$3,2,FALSE)&amp;":D"&amp;VLOOKUP($A15,$BA$1:$BC$3,3,FALSE)),1))</f>
        <v>12</v>
      </c>
      <c r="F15" s="5">
        <f>IF(OR(ISBLANK(D15),D15=0,D15=""),"",RANK(D15,$D$4:$D$100,1))</f>
        <v>15</v>
      </c>
      <c r="G15" s="4">
        <f ca="1">IF(ISNA(VLOOKUP($B15,INDIRECT("'"&amp;G$2&amp;"'!$B$3:$E$72"),4,FALSE)),"",VLOOKUP($B15,INDIRECT("'"&amp;G$2&amp;"'!$B$3:$E$72"),4,FALSE))</f>
        <v>34</v>
      </c>
      <c r="H15" s="5">
        <f ca="1">IF(G15="","",RANK(G15,INDIRECT("G"&amp;VLOOKUP($A15,$BA$1:$BC$3,2,FALSE)&amp;":G"&amp;VLOOKUP($A15,$BA$1:$BC$3,3,FALSE)),1))</f>
        <v>25</v>
      </c>
      <c r="I15" s="4">
        <f ca="1">IF(ISNA(VLOOKUP($B15,INDIRECT("'"&amp;I$2&amp;"'!$B$3:$E$72"),4,FALSE)),"",VLOOKUP($B15,INDIRECT("'"&amp;I$2&amp;"'!$B$3:$E$72"),4,FALSE))</f>
        <v>37</v>
      </c>
      <c r="J15" s="5">
        <f>IF(I15="","",G15+I15)</f>
        <v>71</v>
      </c>
      <c r="K15" s="5">
        <f ca="1">IF(J15="","",RANK(J15,INDIRECT("J"&amp;VLOOKUP($A15,$BA$1:$BC$3,2,FALSE)&amp;":J"&amp;VLOOKUP($A15,$BA$1:$BC$3,3,FALSE)),1))</f>
        <v>24</v>
      </c>
      <c r="L15" s="6">
        <f>IF(I15="","",RANK(J15,J$4:J$100,1))</f>
        <v>33</v>
      </c>
      <c r="M15" s="4">
        <f ca="1">IF(ISNA(VLOOKUP($B15,INDIRECT("'"&amp;M$2&amp;"'!$B$3:$E$72"),4,FALSE)),"",VLOOKUP($B15,INDIRECT("'"&amp;M$2&amp;"'!$B$3:$E$72"),4,FALSE))</f>
        <v>15</v>
      </c>
      <c r="N15" s="5">
        <f>IF(M15="","",M15+J15)</f>
        <v>86</v>
      </c>
      <c r="O15" s="5">
        <f ca="1">IF(N15="","",RANK(N15,INDIRECT("N"&amp;VLOOKUP($A15,$BA$1:$BC$3,2,FALSE)&amp;":N"&amp;VLOOKUP($A15,$BA$1:$BC$3,3,FALSE)),1))</f>
        <v>21</v>
      </c>
      <c r="P15" s="6">
        <f>IF(M15="","",RANK(N15,N$4:N$100,1))</f>
        <v>26</v>
      </c>
      <c r="Q15" s="4">
        <f ca="1">IF(ISNA(VLOOKUP($B15,INDIRECT("'"&amp;Q$2&amp;"'!$B$3:$E$72"),4,FALSE)),"",VLOOKUP($B15,INDIRECT("'"&amp;Q$2&amp;"'!$B$3:$E$72"),4,FALSE))</f>
        <v>27</v>
      </c>
      <c r="R15" s="5">
        <f>IF(Q15="","",Q15+N15)</f>
        <v>113</v>
      </c>
      <c r="S15" s="5">
        <f ca="1">IF(R15="","",RANK(R15,INDIRECT("R"&amp;VLOOKUP($A15,$BA$1:$BC$3,2,FALSE)&amp;":R"&amp;VLOOKUP($A15,$BA$1:$BC$3,3,FALSE)),1))</f>
        <v>18</v>
      </c>
      <c r="T15" s="6">
        <f>IF(Q15="","",RANK(R15,R$4:R$100,1))</f>
        <v>22</v>
      </c>
      <c r="U15" s="4">
        <f ca="1">IF(ISNA(VLOOKUP($B15,INDIRECT("'"&amp;U$2&amp;"'!$B$3:$E$72"),4,FALSE)),"",VLOOKUP($B15,INDIRECT("'"&amp;U$2&amp;"'!$B$3:$E$72"),4,FALSE))</f>
        <v>19</v>
      </c>
      <c r="V15" s="5">
        <f>IF(U15="","",U15+R15)</f>
        <v>132</v>
      </c>
      <c r="W15" s="5">
        <f ca="1">IF(V15="","",RANK(V15,INDIRECT("V"&amp;VLOOKUP($A15,$BA$1:$BC$3,2,FALSE)&amp;":V"&amp;VLOOKUP($A15,$BA$1:$BC$3,3,FALSE)),1))</f>
        <v>17</v>
      </c>
      <c r="X15" s="6">
        <f>IF(U15="","",RANK(V15,V$4:V$100,1))</f>
        <v>20</v>
      </c>
      <c r="Y15" s="4">
        <f ca="1">IF(ISNA(VLOOKUP($B15,INDIRECT("'"&amp;Y$2&amp;"'!$B$3:$E$72"),4,FALSE)),"",VLOOKUP($B15,INDIRECT("'"&amp;Y$2&amp;"'!$B$3:$E$72"),4,FALSE))</f>
        <v>5</v>
      </c>
      <c r="Z15" s="5">
        <f>IF(Y15="","",Y15+V15)</f>
        <v>137</v>
      </c>
      <c r="AA15" s="5">
        <f ca="1">IF(Z15="","",RANK(Z15,INDIRECT("Z"&amp;VLOOKUP($A15,$BA$1:$BC$3,2,FALSE)&amp;":Z"&amp;VLOOKUP($A15,$BA$1:$BC$3,3,FALSE)),1))</f>
        <v>16</v>
      </c>
      <c r="AB15" s="6">
        <f>IF(Y15="","",RANK(Z15,Z$4:Z$100,1))</f>
        <v>19</v>
      </c>
      <c r="AC15" s="4">
        <f ca="1">IF(ISNA(VLOOKUP($B15,INDIRECT("'"&amp;AC$2&amp;"'!$B$3:$E$72"),4,FALSE)),"",VLOOKUP($B15,INDIRECT("'"&amp;AC$2&amp;"'!$B$3:$E$72"),4,FALSE))</f>
        <v>3</v>
      </c>
      <c r="AD15" s="5">
        <f>IF(AC15="","",AC15+Z15)</f>
        <v>140</v>
      </c>
      <c r="AE15" s="5">
        <f ca="1">IF(AD15="","",RANK(AD15,INDIRECT("AD"&amp;VLOOKUP($A15,$BA$1:$BC$3,2,FALSE)&amp;":AD"&amp;VLOOKUP($A15,$BA$1:$BC$3,3,FALSE)),1))</f>
        <v>13</v>
      </c>
      <c r="AF15" s="6">
        <f>IF(AC15="","",RANK(AD15,AD$4:AD$100,1))</f>
        <v>16</v>
      </c>
      <c r="AG15" s="4">
        <f ca="1">IF(ISNA(VLOOKUP($B15,INDIRECT("'"&amp;AG$2&amp;"'!$B$3:$E$72"),4,FALSE)),"",VLOOKUP($B15,INDIRECT("'"&amp;AG$2&amp;"'!$B$3:$E$72"),4,FALSE))</f>
        <v>1</v>
      </c>
      <c r="AH15" s="5">
        <f>IF(AG15="","",AG15+AD15)</f>
        <v>141</v>
      </c>
      <c r="AI15" s="5">
        <f ca="1">IF(AH15="","",RANK(AH15,INDIRECT("AH"&amp;VLOOKUP($A15,$BA$1:$BC$3,2,FALSE)&amp;":AH"&amp;VLOOKUP($A15,$BA$1:$BC$3,3,FALSE)),1))</f>
        <v>12</v>
      </c>
      <c r="AJ15" s="6">
        <f>IF(AG15="","",RANK(AH15,AH$4:AH$100,1))</f>
        <v>14</v>
      </c>
      <c r="AK15" s="4">
        <f ca="1">IF(ISNA(VLOOKUP($B15,INDIRECT("'"&amp;AK$2&amp;"'!$B$3:$E$72"),4,FALSE)),"",VLOOKUP($B15,INDIRECT("'"&amp;AK$2&amp;"'!$B$3:$E$72"),4,FALSE))</f>
        <v>10</v>
      </c>
      <c r="AL15" s="5">
        <f>IF(AK15="","",AK15+AH15)</f>
        <v>151</v>
      </c>
      <c r="AM15" s="5">
        <f ca="1">IF(AL15="","",RANK(AL15,INDIRECT("AL"&amp;VLOOKUP($A15,$BA$1:$BC$3,2,FALSE)&amp;":AL"&amp;VLOOKUP($A15,$BA$1:$BC$3,3,FALSE)),1))</f>
        <v>12</v>
      </c>
      <c r="AN15" s="6">
        <f>IF(AK15="","",RANK(AL15,AL$4:AL$100,1))</f>
        <v>13</v>
      </c>
      <c r="AO15" s="4">
        <f ca="1">IF(ISNA(VLOOKUP($B15,INDIRECT("'"&amp;AO$2&amp;"'!$B$3:$E$72"),4,FALSE)),"",VLOOKUP($B15,INDIRECT("'"&amp;AO$2&amp;"'!$B$3:$E$72"),4,FALSE))</f>
        <v>43</v>
      </c>
      <c r="AP15" s="5">
        <f>IF(AO15="","",AO15+AL15)</f>
        <v>194</v>
      </c>
      <c r="AQ15" s="5">
        <f ca="1">IF(AP15="","",RANK(AP15,INDIRECT("AP"&amp;VLOOKUP($A15,$BA$1:$BC$3,2,FALSE)&amp;":AP"&amp;VLOOKUP($A15,$BA$1:$BC$3,3,FALSE)),1))</f>
        <v>12</v>
      </c>
      <c r="AR15" s="6">
        <f>IF(AO15="","",RANK(AP15,AP$4:AP$100,1))</f>
        <v>15</v>
      </c>
      <c r="AT15" s="4">
        <f>SUM(G15,I15,M15,Q15,U15,Y15,AC15,AG15,AK15,AO15)</f>
        <v>194</v>
      </c>
      <c r="AU15" s="5">
        <f ca="1">RANK(AT15,INDIRECT("AT"&amp;VLOOKUP($A15,$BA$1:$BC$3,2,FALSE)&amp;":AT"&amp;VLOOKUP($A15,$BA$1:$BC$3,3,FALSE)),1)</f>
        <v>12</v>
      </c>
      <c r="AV15" s="5">
        <f>RANK(AT15,$AT$4:$AT$100,1)</f>
        <v>15</v>
      </c>
      <c r="AW15" s="4">
        <f>MIN(G15,I15,M15,Q15,U15,Y15,AC15,AG15,AK15,AO15)</f>
        <v>1</v>
      </c>
      <c r="AX15" s="5">
        <f>MAX(G15,I15,M15,Q15,U15,Y15,AC15,AG15,AK15,AO15)</f>
        <v>43</v>
      </c>
      <c r="AY15" s="6">
        <f>MEDIAN(G15,I15,M15,Q15,U15,Y15,AC15,AG15,AK15,AO15)</f>
        <v>17</v>
      </c>
    </row>
    <row r="16" spans="1:51" ht="15.75">
      <c r="A16" s="14" t="s">
        <v>3</v>
      </c>
      <c r="B16" s="41">
        <v>7</v>
      </c>
      <c r="C16" s="40" t="str">
        <f>IF(ISBLANK(B16),"",VLOOKUP(B16,Entries!$A$4:$C$65,3,FALSE))</f>
        <v>Halstead Road Runners</v>
      </c>
      <c r="D16" s="4">
        <f>IF(AT16=0,"",AT16)</f>
        <v>195</v>
      </c>
      <c r="E16" s="5">
        <f ca="1">IF(OR(ISBLANK(D16),D16=0,D16=""),"",RANK(D16,INDIRECT("D"&amp;VLOOKUP($A16,$BA$1:$BC$3,2,FALSE)&amp;":D"&amp;VLOOKUP($A16,$BA$1:$BC$3,3,FALSE)),1))</f>
        <v>13</v>
      </c>
      <c r="F16" s="5">
        <f>IF(OR(ISBLANK(D16),D16=0,D16=""),"",RANK(D16,$D$4:$D$100,1))</f>
        <v>16</v>
      </c>
      <c r="G16" s="4">
        <f ca="1">IF(ISNA(VLOOKUP($B16,INDIRECT("'"&amp;G$2&amp;"'!$B$3:$E$72"),4,FALSE)),"",VLOOKUP($B16,INDIRECT("'"&amp;G$2&amp;"'!$B$3:$E$72"),4,FALSE))</f>
        <v>21</v>
      </c>
      <c r="H16" s="5">
        <f ca="1">IF(G16="","",RANK(G16,INDIRECT("G"&amp;VLOOKUP($A16,$BA$1:$BC$3,2,FALSE)&amp;":G"&amp;VLOOKUP($A16,$BA$1:$BC$3,3,FALSE)),1))</f>
        <v>17</v>
      </c>
      <c r="I16" s="4">
        <f ca="1">IF(ISNA(VLOOKUP($B16,INDIRECT("'"&amp;I$2&amp;"'!$B$3:$E$72"),4,FALSE)),"",VLOOKUP($B16,INDIRECT("'"&amp;I$2&amp;"'!$B$3:$E$72"),4,FALSE))</f>
        <v>24</v>
      </c>
      <c r="J16" s="5">
        <f>IF(I16="","",G16+I16)</f>
        <v>45</v>
      </c>
      <c r="K16" s="5">
        <f ca="1">IF(J16="","",RANK(J16,INDIRECT("J"&amp;VLOOKUP($A16,$BA$1:$BC$3,2,FALSE)&amp;":J"&amp;VLOOKUP($A16,$BA$1:$BC$3,3,FALSE)),1))</f>
        <v>20</v>
      </c>
      <c r="L16" s="6">
        <f>IF(I16="","",RANK(J16,J$4:J$100,1))</f>
        <v>23</v>
      </c>
      <c r="M16" s="4">
        <f ca="1">IF(ISNA(VLOOKUP($B16,INDIRECT("'"&amp;M$2&amp;"'!$B$3:$E$72"),4,FALSE)),"",VLOOKUP($B16,INDIRECT("'"&amp;M$2&amp;"'!$B$3:$E$72"),4,FALSE))</f>
        <v>13</v>
      </c>
      <c r="N16" s="5">
        <f>IF(M16="","",M16+J16)</f>
        <v>58</v>
      </c>
      <c r="O16" s="5">
        <f ca="1">IF(N16="","",RANK(N16,INDIRECT("N"&amp;VLOOKUP($A16,$BA$1:$BC$3,2,FALSE)&amp;":N"&amp;VLOOKUP($A16,$BA$1:$BC$3,3,FALSE)),1))</f>
        <v>13</v>
      </c>
      <c r="P16" s="6">
        <f>IF(M16="","",RANK(N16,N$4:N$100,1))</f>
        <v>16</v>
      </c>
      <c r="Q16" s="4">
        <f ca="1">IF(ISNA(VLOOKUP($B16,INDIRECT("'"&amp;Q$2&amp;"'!$B$3:$E$72"),4,FALSE)),"",VLOOKUP($B16,INDIRECT("'"&amp;Q$2&amp;"'!$B$3:$E$72"),4,FALSE))</f>
        <v>12</v>
      </c>
      <c r="R16" s="5">
        <f>IF(Q16="","",Q16+N16)</f>
        <v>70</v>
      </c>
      <c r="S16" s="5">
        <f ca="1">IF(R16="","",RANK(R16,INDIRECT("R"&amp;VLOOKUP($A16,$BA$1:$BC$3,2,FALSE)&amp;":R"&amp;VLOOKUP($A16,$BA$1:$BC$3,3,FALSE)),1))</f>
        <v>12</v>
      </c>
      <c r="T16" s="6">
        <f>IF(Q16="","",RANK(R16,R$4:R$100,1))</f>
        <v>14</v>
      </c>
      <c r="U16" s="4">
        <f ca="1">IF(ISNA(VLOOKUP($B16,INDIRECT("'"&amp;U$2&amp;"'!$B$3:$E$72"),4,FALSE)),"",VLOOKUP($B16,INDIRECT("'"&amp;U$2&amp;"'!$B$3:$E$72"),4,FALSE))</f>
        <v>16</v>
      </c>
      <c r="V16" s="5">
        <f>IF(U16="","",U16+R16)</f>
        <v>86</v>
      </c>
      <c r="W16" s="5">
        <f ca="1">IF(V16="","",RANK(V16,INDIRECT("V"&amp;VLOOKUP($A16,$BA$1:$BC$3,2,FALSE)&amp;":V"&amp;VLOOKUP($A16,$BA$1:$BC$3,3,FALSE)),1))</f>
        <v>12</v>
      </c>
      <c r="X16" s="6">
        <f>IF(U16="","",RANK(V16,V$4:V$100,1))</f>
        <v>14</v>
      </c>
      <c r="Y16" s="4">
        <f ca="1">IF(ISNA(VLOOKUP($B16,INDIRECT("'"&amp;Y$2&amp;"'!$B$3:$E$72"),4,FALSE)),"",VLOOKUP($B16,INDIRECT("'"&amp;Y$2&amp;"'!$B$3:$E$72"),4,FALSE))</f>
        <v>40</v>
      </c>
      <c r="Z16" s="5">
        <f>IF(Y16="","",Y16+V16)</f>
        <v>126</v>
      </c>
      <c r="AA16" s="5">
        <f ca="1">IF(Z16="","",RANK(Z16,INDIRECT("Z"&amp;VLOOKUP($A16,$BA$1:$BC$3,2,FALSE)&amp;":Z"&amp;VLOOKUP($A16,$BA$1:$BC$3,3,FALSE)),1))</f>
        <v>14</v>
      </c>
      <c r="AB16" s="6">
        <f>IF(Y16="","",RANK(Z16,Z$4:Z$100,1))</f>
        <v>17</v>
      </c>
      <c r="AC16" s="4">
        <f ca="1">IF(ISNA(VLOOKUP($B16,INDIRECT("'"&amp;AC$2&amp;"'!$B$3:$E$72"),4,FALSE)),"",VLOOKUP($B16,INDIRECT("'"&amp;AC$2&amp;"'!$B$3:$E$72"),4,FALSE))</f>
        <v>20</v>
      </c>
      <c r="AD16" s="5">
        <f>IF(AC16="","",AC16+Z16)</f>
        <v>146</v>
      </c>
      <c r="AE16" s="5">
        <f ca="1">IF(AD16="","",RANK(AD16,INDIRECT("AD"&amp;VLOOKUP($A16,$BA$1:$BC$3,2,FALSE)&amp;":AD"&amp;VLOOKUP($A16,$BA$1:$BC$3,3,FALSE)),1))</f>
        <v>14</v>
      </c>
      <c r="AF16" s="6">
        <f>IF(AC16="","",RANK(AD16,AD$4:AD$100,1))</f>
        <v>17</v>
      </c>
      <c r="AG16" s="4">
        <f ca="1">IF(ISNA(VLOOKUP($B16,INDIRECT("'"&amp;AG$2&amp;"'!$B$3:$E$72"),4,FALSE)),"",VLOOKUP($B16,INDIRECT("'"&amp;AG$2&amp;"'!$B$3:$E$72"),4,FALSE))</f>
        <v>11</v>
      </c>
      <c r="AH16" s="5">
        <f>IF(AG16="","",AG16+AD16)</f>
        <v>157</v>
      </c>
      <c r="AI16" s="5">
        <f ca="1">IF(AH16="","",RANK(AH16,INDIRECT("AH"&amp;VLOOKUP($A16,$BA$1:$BC$3,2,FALSE)&amp;":AH"&amp;VLOOKUP($A16,$BA$1:$BC$3,3,FALSE)),1))</f>
        <v>13</v>
      </c>
      <c r="AJ16" s="6">
        <f>IF(AG16="","",RANK(AH16,AH$4:AH$100,1))</f>
        <v>16</v>
      </c>
      <c r="AK16" s="4">
        <f ca="1">IF(ISNA(VLOOKUP($B16,INDIRECT("'"&amp;AK$2&amp;"'!$B$3:$E$72"),4,FALSE)),"",VLOOKUP($B16,INDIRECT("'"&amp;AK$2&amp;"'!$B$3:$E$72"),4,FALSE))</f>
        <v>21</v>
      </c>
      <c r="AL16" s="5">
        <f>IF(AK16="","",AK16+AH16)</f>
        <v>178</v>
      </c>
      <c r="AM16" s="5">
        <f ca="1">IF(AL16="","",RANK(AL16,INDIRECT("AL"&amp;VLOOKUP($A16,$BA$1:$BC$3,2,FALSE)&amp;":AL"&amp;VLOOKUP($A16,$BA$1:$BC$3,3,FALSE)),1))</f>
        <v>13</v>
      </c>
      <c r="AN16" s="6">
        <f>IF(AK16="","",RANK(AL16,AL$4:AL$100,1))</f>
        <v>16</v>
      </c>
      <c r="AO16" s="4">
        <f ca="1">IF(ISNA(VLOOKUP($B16,INDIRECT("'"&amp;AO$2&amp;"'!$B$3:$E$72"),4,FALSE)),"",VLOOKUP($B16,INDIRECT("'"&amp;AO$2&amp;"'!$B$3:$E$72"),4,FALSE))</f>
        <v>17</v>
      </c>
      <c r="AP16" s="5">
        <f>IF(AO16="","",AO16+AL16)</f>
        <v>195</v>
      </c>
      <c r="AQ16" s="5">
        <f ca="1">IF(AP16="","",RANK(AP16,INDIRECT("AP"&amp;VLOOKUP($A16,$BA$1:$BC$3,2,FALSE)&amp;":AP"&amp;VLOOKUP($A16,$BA$1:$BC$3,3,FALSE)),1))</f>
        <v>13</v>
      </c>
      <c r="AR16" s="6">
        <f>IF(AO16="","",RANK(AP16,AP$4:AP$100,1))</f>
        <v>16</v>
      </c>
      <c r="AT16" s="4">
        <f>SUM(G16,I16,M16,Q16,U16,Y16,AC16,AG16,AK16,AO16)</f>
        <v>195</v>
      </c>
      <c r="AU16" s="5">
        <f ca="1">RANK(AT16,INDIRECT("AT"&amp;VLOOKUP($A16,$BA$1:$BC$3,2,FALSE)&amp;":AT"&amp;VLOOKUP($A16,$BA$1:$BC$3,3,FALSE)),1)</f>
        <v>13</v>
      </c>
      <c r="AV16" s="5">
        <f>RANK(AT16,$AT$4:$AT$100,1)</f>
        <v>16</v>
      </c>
      <c r="AW16" s="4">
        <f>MIN(G16,I16,M16,Q16,U16,Y16,AC16,AG16,AK16,AO16)</f>
        <v>11</v>
      </c>
      <c r="AX16" s="5">
        <f>MAX(G16,I16,M16,Q16,U16,Y16,AC16,AG16,AK16,AO16)</f>
        <v>40</v>
      </c>
      <c r="AY16" s="6">
        <f>MEDIAN(G16,I16,M16,Q16,U16,Y16,AC16,AG16,AK16,AO16)</f>
        <v>18.5</v>
      </c>
    </row>
    <row r="17" spans="1:51" ht="15.75">
      <c r="A17" s="14" t="s">
        <v>3</v>
      </c>
      <c r="B17" s="14">
        <v>25</v>
      </c>
      <c r="C17" s="40" t="str">
        <f>IF(ISBLANK(B17),"",VLOOKUP(B17,Entries!$A$4:$C$65,3,FALSE))</f>
        <v>Southend Men B</v>
      </c>
      <c r="D17" s="4">
        <f>IF(AT17=0,"",AT17)</f>
        <v>202</v>
      </c>
      <c r="E17" s="5">
        <f ca="1">IF(OR(ISBLANK(D17),D17=0,D17=""),"",RANK(D17,INDIRECT("D"&amp;VLOOKUP($A17,$BA$1:$BC$3,2,FALSE)&amp;":D"&amp;VLOOKUP($A17,$BA$1:$BC$3,3,FALSE)),1))</f>
        <v>14</v>
      </c>
      <c r="F17" s="5">
        <f>IF(OR(ISBLANK(D17),D17=0,D17=""),"",RANK(D17,$D$4:$D$100,1))</f>
        <v>17</v>
      </c>
      <c r="G17" s="4">
        <f ca="1">IF(ISNA(VLOOKUP($B17,INDIRECT("'"&amp;G$2&amp;"'!$B$3:$E$72"),4,FALSE)),"",VLOOKUP($B17,INDIRECT("'"&amp;G$2&amp;"'!$B$3:$E$72"),4,FALSE))</f>
        <v>14</v>
      </c>
      <c r="H17" s="5">
        <f ca="1">IF(G17="","",RANK(G17,INDIRECT("G"&amp;VLOOKUP($A17,$BA$1:$BC$3,2,FALSE)&amp;":G"&amp;VLOOKUP($A17,$BA$1:$BC$3,3,FALSE)),1))</f>
        <v>13</v>
      </c>
      <c r="I17" s="4">
        <f ca="1">IF(ISNA(VLOOKUP($B17,INDIRECT("'"&amp;I$2&amp;"'!$B$3:$E$72"),4,FALSE)),"",VLOOKUP($B17,INDIRECT("'"&amp;I$2&amp;"'!$B$3:$E$72"),4,FALSE))</f>
        <v>30</v>
      </c>
      <c r="J17" s="5">
        <f>IF(I17="","",G17+I17)</f>
        <v>44</v>
      </c>
      <c r="K17" s="5">
        <f ca="1">IF(J17="","",RANK(J17,INDIRECT("J"&amp;VLOOKUP($A17,$BA$1:$BC$3,2,FALSE)&amp;":J"&amp;VLOOKUP($A17,$BA$1:$BC$3,3,FALSE)),1))</f>
        <v>18</v>
      </c>
      <c r="L17" s="6">
        <f>IF(I17="","",RANK(J17,J$4:J$100,1))</f>
        <v>21</v>
      </c>
      <c r="M17" s="4">
        <f ca="1">IF(ISNA(VLOOKUP($B17,INDIRECT("'"&amp;M$2&amp;"'!$B$3:$E$72"),4,FALSE)),"",VLOOKUP($B17,INDIRECT("'"&amp;M$2&amp;"'!$B$3:$E$72"),4,FALSE))</f>
        <v>14</v>
      </c>
      <c r="N17" s="5">
        <f>IF(M17="","",M17+J17)</f>
        <v>58</v>
      </c>
      <c r="O17" s="5">
        <f ca="1">IF(N17="","",RANK(N17,INDIRECT("N"&amp;VLOOKUP($A17,$BA$1:$BC$3,2,FALSE)&amp;":N"&amp;VLOOKUP($A17,$BA$1:$BC$3,3,FALSE)),1))</f>
        <v>13</v>
      </c>
      <c r="P17" s="6">
        <f>IF(M17="","",RANK(N17,N$4:N$100,1))</f>
        <v>16</v>
      </c>
      <c r="Q17" s="4">
        <f ca="1">IF(ISNA(VLOOKUP($B17,INDIRECT("'"&amp;Q$2&amp;"'!$B$3:$E$72"),4,FALSE)),"",VLOOKUP($B17,INDIRECT("'"&amp;Q$2&amp;"'!$B$3:$E$72"),4,FALSE))</f>
        <v>15</v>
      </c>
      <c r="R17" s="5">
        <f>IF(Q17="","",Q17+N17)</f>
        <v>73</v>
      </c>
      <c r="S17" s="5">
        <f ca="1">IF(R17="","",RANK(R17,INDIRECT("R"&amp;VLOOKUP($A17,$BA$1:$BC$3,2,FALSE)&amp;":R"&amp;VLOOKUP($A17,$BA$1:$BC$3,3,FALSE)),1))</f>
        <v>13</v>
      </c>
      <c r="T17" s="6">
        <f>IF(Q17="","",RANK(R17,R$4:R$100,1))</f>
        <v>16</v>
      </c>
      <c r="U17" s="4">
        <f ca="1">IF(ISNA(VLOOKUP($B17,INDIRECT("'"&amp;U$2&amp;"'!$B$3:$E$72"),4,FALSE)),"",VLOOKUP($B17,INDIRECT("'"&amp;U$2&amp;"'!$B$3:$E$72"),4,FALSE))</f>
        <v>34</v>
      </c>
      <c r="V17" s="5">
        <f>IF(U17="","",U17+R17)</f>
        <v>107</v>
      </c>
      <c r="W17" s="5">
        <f ca="1">IF(V17="","",RANK(V17,INDIRECT("V"&amp;VLOOKUP($A17,$BA$1:$BC$3,2,FALSE)&amp;":V"&amp;VLOOKUP($A17,$BA$1:$BC$3,3,FALSE)),1))</f>
        <v>15</v>
      </c>
      <c r="X17" s="6">
        <f>IF(U17="","",RANK(V17,V$4:V$100,1))</f>
        <v>18</v>
      </c>
      <c r="Y17" s="4">
        <f ca="1">IF(ISNA(VLOOKUP($B17,INDIRECT("'"&amp;Y$2&amp;"'!$B$3:$E$72"),4,FALSE)),"",VLOOKUP($B17,INDIRECT("'"&amp;Y$2&amp;"'!$B$3:$E$72"),4,FALSE))</f>
        <v>16</v>
      </c>
      <c r="Z17" s="5">
        <f>IF(Y17="","",Y17+V17)</f>
        <v>123</v>
      </c>
      <c r="AA17" s="5">
        <f ca="1">IF(Z17="","",RANK(Z17,INDIRECT("Z"&amp;VLOOKUP($A17,$BA$1:$BC$3,2,FALSE)&amp;":Z"&amp;VLOOKUP($A17,$BA$1:$BC$3,3,FALSE)),1))</f>
        <v>13</v>
      </c>
      <c r="AB17" s="6">
        <f>IF(Y17="","",RANK(Z17,Z$4:Z$100,1))</f>
        <v>16</v>
      </c>
      <c r="AC17" s="4">
        <f ca="1">IF(ISNA(VLOOKUP($B17,INDIRECT("'"&amp;AC$2&amp;"'!$B$3:$E$72"),4,FALSE)),"",VLOOKUP($B17,INDIRECT("'"&amp;AC$2&amp;"'!$B$3:$E$72"),4,FALSE))</f>
        <v>36</v>
      </c>
      <c r="AD17" s="5">
        <f>IF(AC17="","",AC17+Z17)</f>
        <v>159</v>
      </c>
      <c r="AE17" s="5">
        <f ca="1">IF(AD17="","",RANK(AD17,INDIRECT("AD"&amp;VLOOKUP($A17,$BA$1:$BC$3,2,FALSE)&amp;":AD"&amp;VLOOKUP($A17,$BA$1:$BC$3,3,FALSE)),1))</f>
        <v>15</v>
      </c>
      <c r="AF17" s="6">
        <f>IF(AC17="","",RANK(AD17,AD$4:AD$100,1))</f>
        <v>18</v>
      </c>
      <c r="AG17" s="4">
        <f ca="1">IF(ISNA(VLOOKUP($B17,INDIRECT("'"&amp;AG$2&amp;"'!$B$3:$E$72"),4,FALSE)),"",VLOOKUP($B17,INDIRECT("'"&amp;AG$2&amp;"'!$B$3:$E$72"),4,FALSE))</f>
        <v>14</v>
      </c>
      <c r="AH17" s="5">
        <f>IF(AG17="","",AG17+AD17)</f>
        <v>173</v>
      </c>
      <c r="AI17" s="5">
        <f ca="1">IF(AH17="","",RANK(AH17,INDIRECT("AH"&amp;VLOOKUP($A17,$BA$1:$BC$3,2,FALSE)&amp;":AH"&amp;VLOOKUP($A17,$BA$1:$BC$3,3,FALSE)),1))</f>
        <v>15</v>
      </c>
      <c r="AJ17" s="6">
        <f>IF(AG17="","",RANK(AH17,AH$4:AH$100,1))</f>
        <v>18</v>
      </c>
      <c r="AK17" s="4">
        <f ca="1">IF(ISNA(VLOOKUP($B17,INDIRECT("'"&amp;AK$2&amp;"'!$B$3:$E$72"),4,FALSE)),"",VLOOKUP($B17,INDIRECT("'"&amp;AK$2&amp;"'!$B$3:$E$72"),4,FALSE))</f>
        <v>20</v>
      </c>
      <c r="AL17" s="5">
        <f>IF(AK17="","",AK17+AH17)</f>
        <v>193</v>
      </c>
      <c r="AM17" s="5">
        <f ca="1">IF(AL17="","",RANK(AL17,INDIRECT("AL"&amp;VLOOKUP($A17,$BA$1:$BC$3,2,FALSE)&amp;":AL"&amp;VLOOKUP($A17,$BA$1:$BC$3,3,FALSE)),1))</f>
        <v>14</v>
      </c>
      <c r="AN17" s="6">
        <f>IF(AK17="","",RANK(AL17,AL$4:AL$100,1))</f>
        <v>17</v>
      </c>
      <c r="AO17" s="4">
        <f ca="1">IF(ISNA(VLOOKUP($B17,INDIRECT("'"&amp;AO$2&amp;"'!$B$3:$E$72"),4,FALSE)),"",VLOOKUP($B17,INDIRECT("'"&amp;AO$2&amp;"'!$B$3:$E$72"),4,FALSE))</f>
        <v>9</v>
      </c>
      <c r="AP17" s="5">
        <f>IF(AO17="","",AO17+AL17)</f>
        <v>202</v>
      </c>
      <c r="AQ17" s="5">
        <f ca="1">IF(AP17="","",RANK(AP17,INDIRECT("AP"&amp;VLOOKUP($A17,$BA$1:$BC$3,2,FALSE)&amp;":AP"&amp;VLOOKUP($A17,$BA$1:$BC$3,3,FALSE)),1))</f>
        <v>14</v>
      </c>
      <c r="AR17" s="6">
        <f>IF(AO17="","",RANK(AP17,AP$4:AP$100,1))</f>
        <v>17</v>
      </c>
      <c r="AT17" s="4">
        <f>SUM(G17,I17,M17,Q17,U17,Y17,AC17,AG17,AK17,AO17)</f>
        <v>202</v>
      </c>
      <c r="AU17" s="5">
        <f ca="1">RANK(AT17,INDIRECT("AT"&amp;VLOOKUP($A17,$BA$1:$BC$3,2,FALSE)&amp;":AT"&amp;VLOOKUP($A17,$BA$1:$BC$3,3,FALSE)),1)</f>
        <v>14</v>
      </c>
      <c r="AV17" s="5">
        <f>RANK(AT17,$AT$4:$AT$100,1)</f>
        <v>17</v>
      </c>
      <c r="AW17" s="4">
        <f>MIN(G17,I17,M17,Q17,U17,Y17,AC17,AG17,AK17,AO17)</f>
        <v>9</v>
      </c>
      <c r="AX17" s="5">
        <f>MAX(G17,I17,M17,Q17,U17,Y17,AC17,AG17,AK17,AO17)</f>
        <v>36</v>
      </c>
      <c r="AY17" s="6">
        <f>MEDIAN(G17,I17,M17,Q17,U17,Y17,AC17,AG17,AK17,AO17)</f>
        <v>15.5</v>
      </c>
    </row>
    <row r="18" spans="1:51" ht="15.75">
      <c r="A18" s="14" t="s">
        <v>3</v>
      </c>
      <c r="B18" s="14">
        <v>36</v>
      </c>
      <c r="C18" s="40" t="str">
        <f>IF(ISBLANK(B18),"",VLOOKUP(B18,Entries!$A$4:$C$65,3,FALSE))</f>
        <v>Springfield Striders Mixed A</v>
      </c>
      <c r="D18" s="4">
        <f>IF(AT18=0,"",AT18)</f>
        <v>233</v>
      </c>
      <c r="E18" s="5">
        <f ca="1">IF(OR(ISBLANK(D18),D18=0,D18=""),"",RANK(D18,INDIRECT("D"&amp;VLOOKUP($A18,$BA$1:$BC$3,2,FALSE)&amp;":D"&amp;VLOOKUP($A18,$BA$1:$BC$3,3,FALSE)),1))</f>
        <v>15</v>
      </c>
      <c r="F18" s="5">
        <f>IF(OR(ISBLANK(D18),D18=0,D18=""),"",RANK(D18,$D$4:$D$100,1))</f>
        <v>18</v>
      </c>
      <c r="G18" s="4">
        <f ca="1">IF(ISNA(VLOOKUP($B18,INDIRECT("'"&amp;G$2&amp;"'!$B$3:$E$72"),4,FALSE)),"",VLOOKUP($B18,INDIRECT("'"&amp;G$2&amp;"'!$B$3:$E$72"),4,FALSE))</f>
        <v>8</v>
      </c>
      <c r="H18" s="5">
        <f ca="1">IF(G18="","",RANK(G18,INDIRECT("G"&amp;VLOOKUP($A18,$BA$1:$BC$3,2,FALSE)&amp;":G"&amp;VLOOKUP($A18,$BA$1:$BC$3,3,FALSE)),1))</f>
        <v>7</v>
      </c>
      <c r="I18" s="4">
        <f ca="1">IF(ISNA(VLOOKUP($B18,INDIRECT("'"&amp;I$2&amp;"'!$B$3:$E$72"),4,FALSE)),"",VLOOKUP($B18,INDIRECT("'"&amp;I$2&amp;"'!$B$3:$E$72"),4,FALSE))</f>
        <v>19</v>
      </c>
      <c r="J18" s="5">
        <f>IF(I18="","",G18+I18)</f>
        <v>27</v>
      </c>
      <c r="K18" s="5">
        <f ca="1">IF(J18="","",RANK(J18,INDIRECT("J"&amp;VLOOKUP($A18,$BA$1:$BC$3,2,FALSE)&amp;":J"&amp;VLOOKUP($A18,$BA$1:$BC$3,3,FALSE)),1))</f>
        <v>10</v>
      </c>
      <c r="L18" s="6">
        <f>IF(I18="","",RANK(J18,J$4:J$100,1))</f>
        <v>11</v>
      </c>
      <c r="M18" s="4">
        <f ca="1">IF(ISNA(VLOOKUP($B18,INDIRECT("'"&amp;M$2&amp;"'!$B$3:$E$72"),4,FALSE)),"",VLOOKUP($B18,INDIRECT("'"&amp;M$2&amp;"'!$B$3:$E$72"),4,FALSE))</f>
        <v>19</v>
      </c>
      <c r="N18" s="5">
        <f>IF(M18="","",M18+J18)</f>
        <v>46</v>
      </c>
      <c r="O18" s="5">
        <f ca="1">IF(N18="","",RANK(N18,INDIRECT("N"&amp;VLOOKUP($A18,$BA$1:$BC$3,2,FALSE)&amp;":N"&amp;VLOOKUP($A18,$BA$1:$BC$3,3,FALSE)),1))</f>
        <v>11</v>
      </c>
      <c r="P18" s="6">
        <f>IF(M18="","",RANK(N18,N$4:N$100,1))</f>
        <v>12</v>
      </c>
      <c r="Q18" s="4">
        <f ca="1">IF(ISNA(VLOOKUP($B18,INDIRECT("'"&amp;Q$2&amp;"'!$B$3:$E$72"),4,FALSE)),"",VLOOKUP($B18,INDIRECT("'"&amp;Q$2&amp;"'!$B$3:$E$72"),4,FALSE))</f>
        <v>13</v>
      </c>
      <c r="R18" s="5">
        <f>IF(Q18="","",Q18+N18)</f>
        <v>59</v>
      </c>
      <c r="S18" s="5">
        <f ca="1">IF(R18="","",RANK(R18,INDIRECT("R"&amp;VLOOKUP($A18,$BA$1:$BC$3,2,FALSE)&amp;":R"&amp;VLOOKUP($A18,$BA$1:$BC$3,3,FALSE)),1))</f>
        <v>11</v>
      </c>
      <c r="T18" s="6">
        <f>IF(Q18="","",RANK(R18,R$4:R$100,1))</f>
        <v>12</v>
      </c>
      <c r="U18" s="4">
        <f ca="1">IF(ISNA(VLOOKUP($B18,INDIRECT("'"&amp;U$2&amp;"'!$B$3:$E$72"),4,FALSE)),"",VLOOKUP($B18,INDIRECT("'"&amp;U$2&amp;"'!$B$3:$E$72"),4,FALSE))</f>
        <v>18</v>
      </c>
      <c r="V18" s="5">
        <f>IF(U18="","",U18+R18)</f>
        <v>77</v>
      </c>
      <c r="W18" s="5">
        <f ca="1">IF(V18="","",RANK(V18,INDIRECT("V"&amp;VLOOKUP($A18,$BA$1:$BC$3,2,FALSE)&amp;":V"&amp;VLOOKUP($A18,$BA$1:$BC$3,3,FALSE)),1))</f>
        <v>11</v>
      </c>
      <c r="X18" s="6">
        <f>IF(U18="","",RANK(V18,V$4:V$100,1))</f>
        <v>12</v>
      </c>
      <c r="Y18" s="4">
        <f ca="1">IF(ISNA(VLOOKUP($B18,INDIRECT("'"&amp;Y$2&amp;"'!$B$3:$E$72"),4,FALSE)),"",VLOOKUP($B18,INDIRECT("'"&amp;Y$2&amp;"'!$B$3:$E$72"),4,FALSE))</f>
        <v>27</v>
      </c>
      <c r="Z18" s="5">
        <f>IF(Y18="","",Y18+V18)</f>
        <v>104</v>
      </c>
      <c r="AA18" s="5">
        <f ca="1">IF(Z18="","",RANK(Z18,INDIRECT("Z"&amp;VLOOKUP($A18,$BA$1:$BC$3,2,FALSE)&amp;":Z"&amp;VLOOKUP($A18,$BA$1:$BC$3,3,FALSE)),1))</f>
        <v>12</v>
      </c>
      <c r="AB18" s="6">
        <f>IF(Y18="","",RANK(Z18,Z$4:Z$100,1))</f>
        <v>14</v>
      </c>
      <c r="AC18" s="4">
        <f ca="1">IF(ISNA(VLOOKUP($B18,INDIRECT("'"&amp;AC$2&amp;"'!$B$3:$E$72"),4,FALSE)),"",VLOOKUP($B18,INDIRECT("'"&amp;AC$2&amp;"'!$B$3:$E$72"),4,FALSE))</f>
        <v>15</v>
      </c>
      <c r="AD18" s="5">
        <f>IF(AC18="","",AC18+Z18)</f>
        <v>119</v>
      </c>
      <c r="AE18" s="5">
        <f ca="1">IF(AD18="","",RANK(AD18,INDIRECT("AD"&amp;VLOOKUP($A18,$BA$1:$BC$3,2,FALSE)&amp;":AD"&amp;VLOOKUP($A18,$BA$1:$BC$3,3,FALSE)),1))</f>
        <v>11</v>
      </c>
      <c r="AF18" s="6">
        <f>IF(AC18="","",RANK(AD18,AD$4:AD$100,1))</f>
        <v>13</v>
      </c>
      <c r="AG18" s="4">
        <f ca="1">IF(ISNA(VLOOKUP($B18,INDIRECT("'"&amp;AG$2&amp;"'!$B$3:$E$72"),4,FALSE)),"",VLOOKUP($B18,INDIRECT("'"&amp;AG$2&amp;"'!$B$3:$E$72"),4,FALSE))</f>
        <v>46</v>
      </c>
      <c r="AH18" s="5">
        <f>IF(AG18="","",AG18+AD18)</f>
        <v>165</v>
      </c>
      <c r="AI18" s="5">
        <f ca="1">IF(AH18="","",RANK(AH18,INDIRECT("AH"&amp;VLOOKUP($A18,$BA$1:$BC$3,2,FALSE)&amp;":AH"&amp;VLOOKUP($A18,$BA$1:$BC$3,3,FALSE)),1))</f>
        <v>14</v>
      </c>
      <c r="AJ18" s="6">
        <f>IF(AG18="","",RANK(AH18,AH$4:AH$100,1))</f>
        <v>17</v>
      </c>
      <c r="AK18" s="4">
        <f ca="1">IF(ISNA(VLOOKUP($B18,INDIRECT("'"&amp;AK$2&amp;"'!$B$3:$E$72"),4,FALSE)),"",VLOOKUP($B18,INDIRECT("'"&amp;AK$2&amp;"'!$B$3:$E$72"),4,FALSE))</f>
        <v>47</v>
      </c>
      <c r="AL18" s="5">
        <f>IF(AK18="","",AK18+AH18)</f>
        <v>212</v>
      </c>
      <c r="AM18" s="5">
        <f ca="1">IF(AL18="","",RANK(AL18,INDIRECT("AL"&amp;VLOOKUP($A18,$BA$1:$BC$3,2,FALSE)&amp;":AL"&amp;VLOOKUP($A18,$BA$1:$BC$3,3,FALSE)),1))</f>
        <v>16</v>
      </c>
      <c r="AN18" s="6">
        <f>IF(AK18="","",RANK(AL18,AL$4:AL$100,1))</f>
        <v>19</v>
      </c>
      <c r="AO18" s="4">
        <f ca="1">IF(ISNA(VLOOKUP($B18,INDIRECT("'"&amp;AO$2&amp;"'!$B$3:$E$72"),4,FALSE)),"",VLOOKUP($B18,INDIRECT("'"&amp;AO$2&amp;"'!$B$3:$E$72"),4,FALSE))</f>
        <v>21</v>
      </c>
      <c r="AP18" s="5">
        <f>IF(AO18="","",AO18+AL18)</f>
        <v>233</v>
      </c>
      <c r="AQ18" s="5">
        <f ca="1">IF(AP18="","",RANK(AP18,INDIRECT("AP"&amp;VLOOKUP($A18,$BA$1:$BC$3,2,FALSE)&amp;":AP"&amp;VLOOKUP($A18,$BA$1:$BC$3,3,FALSE)),1))</f>
        <v>15</v>
      </c>
      <c r="AR18" s="6">
        <f>IF(AO18="","",RANK(AP18,AP$4:AP$100,1))</f>
        <v>18</v>
      </c>
      <c r="AT18" s="4">
        <f>SUM(G18,I18,M18,Q18,U18,Y18,AC18,AG18,AK18,AO18)</f>
        <v>233</v>
      </c>
      <c r="AU18" s="5">
        <f ca="1">RANK(AT18,INDIRECT("AT"&amp;VLOOKUP($A18,$BA$1:$BC$3,2,FALSE)&amp;":AT"&amp;VLOOKUP($A18,$BA$1:$BC$3,3,FALSE)),1)</f>
        <v>15</v>
      </c>
      <c r="AV18" s="5">
        <f>RANK(AT18,$AT$4:$AT$100,1)</f>
        <v>18</v>
      </c>
      <c r="AW18" s="4">
        <f>MIN(G18,I18,M18,Q18,U18,Y18,AC18,AG18,AK18,AO18)</f>
        <v>8</v>
      </c>
      <c r="AX18" s="5">
        <f>MAX(G18,I18,M18,Q18,U18,Y18,AC18,AG18,AK18,AO18)</f>
        <v>47</v>
      </c>
      <c r="AY18" s="6">
        <f>MEDIAN(G18,I18,M18,Q18,U18,Y18,AC18,AG18,AK18,AO18)</f>
        <v>19</v>
      </c>
    </row>
    <row r="19" spans="1:51" ht="15.75">
      <c r="A19" s="14" t="s">
        <v>3</v>
      </c>
      <c r="B19" s="41">
        <v>13</v>
      </c>
      <c r="C19" s="40" t="str">
        <f>IF(ISBLANK(B19),"",VLOOKUP(B19,Entries!$A$4:$C$65,3,FALSE))</f>
        <v>Mid Essex Casuals B</v>
      </c>
      <c r="D19" s="4">
        <f>IF(AT19=0,"",AT19)</f>
        <v>249</v>
      </c>
      <c r="E19" s="5">
        <f ca="1">IF(OR(ISBLANK(D19),D19=0,D19=""),"",RANK(D19,INDIRECT("D"&amp;VLOOKUP($A19,$BA$1:$BC$3,2,FALSE)&amp;":D"&amp;VLOOKUP($A19,$BA$1:$BC$3,3,FALSE)),1))</f>
        <v>16</v>
      </c>
      <c r="F19" s="5">
        <f>IF(OR(ISBLANK(D19),D19=0,D19=""),"",RANK(D19,$D$4:$D$100,1))</f>
        <v>19</v>
      </c>
      <c r="G19" s="4">
        <f ca="1">IF(ISNA(VLOOKUP($B19,INDIRECT("'"&amp;G$2&amp;"'!$B$3:$E$72"),4,FALSE)),"",VLOOKUP($B19,INDIRECT("'"&amp;G$2&amp;"'!$B$3:$E$72"),4,FALSE))</f>
        <v>24</v>
      </c>
      <c r="H19" s="5">
        <f ca="1">IF(G19="","",RANK(G19,INDIRECT("G"&amp;VLOOKUP($A19,$BA$1:$BC$3,2,FALSE)&amp;":G"&amp;VLOOKUP($A19,$BA$1:$BC$3,3,FALSE)),1))</f>
        <v>19</v>
      </c>
      <c r="I19" s="4">
        <f ca="1">IF(ISNA(VLOOKUP($B19,INDIRECT("'"&amp;I$2&amp;"'!$B$3:$E$72"),4,FALSE)),"",VLOOKUP($B19,INDIRECT("'"&amp;I$2&amp;"'!$B$3:$E$72"),4,FALSE))</f>
        <v>14</v>
      </c>
      <c r="J19" s="5">
        <f>IF(I19="","",G19+I19)</f>
        <v>38</v>
      </c>
      <c r="K19" s="5">
        <f ca="1">IF(J19="","",RANK(J19,INDIRECT("J"&amp;VLOOKUP($A19,$BA$1:$BC$3,2,FALSE)&amp;":J"&amp;VLOOKUP($A19,$BA$1:$BC$3,3,FALSE)),1))</f>
        <v>14</v>
      </c>
      <c r="L19" s="6">
        <f>IF(I19="","",RANK(J19,J$4:J$100,1))</f>
        <v>17</v>
      </c>
      <c r="M19" s="4">
        <f ca="1">IF(ISNA(VLOOKUP($B19,INDIRECT("'"&amp;M$2&amp;"'!$B$3:$E$72"),4,FALSE)),"",VLOOKUP($B19,INDIRECT("'"&amp;M$2&amp;"'!$B$3:$E$72"),4,FALSE))</f>
        <v>11</v>
      </c>
      <c r="N19" s="5">
        <f>IF(M19="","",M19+J19)</f>
        <v>49</v>
      </c>
      <c r="O19" s="5">
        <f ca="1">IF(N19="","",RANK(N19,INDIRECT("N"&amp;VLOOKUP($A19,$BA$1:$BC$3,2,FALSE)&amp;":N"&amp;VLOOKUP($A19,$BA$1:$BC$3,3,FALSE)),1))</f>
        <v>12</v>
      </c>
      <c r="P19" s="6">
        <f>IF(M19="","",RANK(N19,N$4:N$100,1))</f>
        <v>14</v>
      </c>
      <c r="Q19" s="4">
        <f ca="1">IF(ISNA(VLOOKUP($B19,INDIRECT("'"&amp;Q$2&amp;"'!$B$3:$E$72"),4,FALSE)),"",VLOOKUP($B19,INDIRECT("'"&amp;Q$2&amp;"'!$B$3:$E$72"),4,FALSE))</f>
        <v>30</v>
      </c>
      <c r="R19" s="5">
        <f>IF(Q19="","",Q19+N19)</f>
        <v>79</v>
      </c>
      <c r="S19" s="5">
        <f ca="1">IF(R19="","",RANK(R19,INDIRECT("R"&amp;VLOOKUP($A19,$BA$1:$BC$3,2,FALSE)&amp;":R"&amp;VLOOKUP($A19,$BA$1:$BC$3,3,FALSE)),1))</f>
        <v>14</v>
      </c>
      <c r="T19" s="6">
        <f>IF(Q19="","",RANK(R19,R$4:R$100,1))</f>
        <v>17</v>
      </c>
      <c r="U19" s="4">
        <f ca="1">IF(ISNA(VLOOKUP($B19,INDIRECT("'"&amp;U$2&amp;"'!$B$3:$E$72"),4,FALSE)),"",VLOOKUP($B19,INDIRECT("'"&amp;U$2&amp;"'!$B$3:$E$72"),4,FALSE))</f>
        <v>41</v>
      </c>
      <c r="V19" s="5">
        <f>IF(U19="","",U19+R19)</f>
        <v>120</v>
      </c>
      <c r="W19" s="5">
        <f ca="1">IF(V19="","",RANK(V19,INDIRECT("V"&amp;VLOOKUP($A19,$BA$1:$BC$3,2,FALSE)&amp;":V"&amp;VLOOKUP($A19,$BA$1:$BC$3,3,FALSE)),1))</f>
        <v>16</v>
      </c>
      <c r="X19" s="6">
        <f>IF(U19="","",RANK(V19,V$4:V$100,1))</f>
        <v>19</v>
      </c>
      <c r="Y19" s="4">
        <f ca="1">IF(ISNA(VLOOKUP($B19,INDIRECT("'"&amp;Y$2&amp;"'!$B$3:$E$72"),4,FALSE)),"",VLOOKUP($B19,INDIRECT("'"&amp;Y$2&amp;"'!$B$3:$E$72"),4,FALSE))</f>
        <v>23</v>
      </c>
      <c r="Z19" s="5">
        <f>IF(Y19="","",Y19+V19)</f>
        <v>143</v>
      </c>
      <c r="AA19" s="5">
        <f ca="1">IF(Z19="","",RANK(Z19,INDIRECT("Z"&amp;VLOOKUP($A19,$BA$1:$BC$3,2,FALSE)&amp;":Z"&amp;VLOOKUP($A19,$BA$1:$BC$3,3,FALSE)),1))</f>
        <v>17</v>
      </c>
      <c r="AB19" s="6">
        <f>IF(Y19="","",RANK(Z19,Z$4:Z$100,1))</f>
        <v>20</v>
      </c>
      <c r="AC19" s="4">
        <f ca="1">IF(ISNA(VLOOKUP($B19,INDIRECT("'"&amp;AC$2&amp;"'!$B$3:$E$72"),4,FALSE)),"",VLOOKUP($B19,INDIRECT("'"&amp;AC$2&amp;"'!$B$3:$E$72"),4,FALSE))</f>
        <v>39</v>
      </c>
      <c r="AD19" s="5">
        <f>IF(AC19="","",AC19+Z19)</f>
        <v>182</v>
      </c>
      <c r="AE19" s="5">
        <f ca="1">IF(AD19="","",RANK(AD19,INDIRECT("AD"&amp;VLOOKUP($A19,$BA$1:$BC$3,2,FALSE)&amp;":AD"&amp;VLOOKUP($A19,$BA$1:$BC$3,3,FALSE)),1))</f>
        <v>16</v>
      </c>
      <c r="AF19" s="6">
        <f>IF(AC19="","",RANK(AD19,AD$4:AD$100,1))</f>
        <v>19</v>
      </c>
      <c r="AG19" s="4">
        <f ca="1">IF(ISNA(VLOOKUP($B19,INDIRECT("'"&amp;AG$2&amp;"'!$B$3:$E$72"),4,FALSE)),"",VLOOKUP($B19,INDIRECT("'"&amp;AG$2&amp;"'!$B$3:$E$72"),4,FALSE))</f>
        <v>9</v>
      </c>
      <c r="AH19" s="5">
        <f>IF(AG19="","",AG19+AD19)</f>
        <v>191</v>
      </c>
      <c r="AI19" s="5">
        <f ca="1">IF(AH19="","",RANK(AH19,INDIRECT("AH"&amp;VLOOKUP($A19,$BA$1:$BC$3,2,FALSE)&amp;":AH"&amp;VLOOKUP($A19,$BA$1:$BC$3,3,FALSE)),1))</f>
        <v>16</v>
      </c>
      <c r="AJ19" s="6">
        <f>IF(AG19="","",RANK(AH19,AH$4:AH$100,1))</f>
        <v>19</v>
      </c>
      <c r="AK19" s="4">
        <f ca="1">IF(ISNA(VLOOKUP($B19,INDIRECT("'"&amp;AK$2&amp;"'!$B$3:$E$72"),4,FALSE)),"",VLOOKUP($B19,INDIRECT("'"&amp;AK$2&amp;"'!$B$3:$E$72"),4,FALSE))</f>
        <v>18</v>
      </c>
      <c r="AL19" s="5">
        <f>IF(AK19="","",AK19+AH19)</f>
        <v>209</v>
      </c>
      <c r="AM19" s="5">
        <f ca="1">IF(AL19="","",RANK(AL19,INDIRECT("AL"&amp;VLOOKUP($A19,$BA$1:$BC$3,2,FALSE)&amp;":AL"&amp;VLOOKUP($A19,$BA$1:$BC$3,3,FALSE)),1))</f>
        <v>15</v>
      </c>
      <c r="AN19" s="6">
        <f>IF(AK19="","",RANK(AL19,AL$4:AL$100,1))</f>
        <v>18</v>
      </c>
      <c r="AO19" s="4">
        <f ca="1">IF(ISNA(VLOOKUP($B19,INDIRECT("'"&amp;AO$2&amp;"'!$B$3:$E$72"),4,FALSE)),"",VLOOKUP($B19,INDIRECT("'"&amp;AO$2&amp;"'!$B$3:$E$72"),4,FALSE))</f>
        <v>40</v>
      </c>
      <c r="AP19" s="5">
        <f>IF(AO19="","",AO19+AL19)</f>
        <v>249</v>
      </c>
      <c r="AQ19" s="5">
        <f ca="1">IF(AP19="","",RANK(AP19,INDIRECT("AP"&amp;VLOOKUP($A19,$BA$1:$BC$3,2,FALSE)&amp;":AP"&amp;VLOOKUP($A19,$BA$1:$BC$3,3,FALSE)),1))</f>
        <v>16</v>
      </c>
      <c r="AR19" s="6">
        <f>IF(AO19="","",RANK(AP19,AP$4:AP$100,1))</f>
        <v>19</v>
      </c>
      <c r="AT19" s="4">
        <f>SUM(G19,I19,M19,Q19,U19,Y19,AC19,AG19,AK19,AO19)</f>
        <v>249</v>
      </c>
      <c r="AU19" s="5">
        <f ca="1">RANK(AT19,INDIRECT("AT"&amp;VLOOKUP($A19,$BA$1:$BC$3,2,FALSE)&amp;":AT"&amp;VLOOKUP($A19,$BA$1:$BC$3,3,FALSE)),1)</f>
        <v>16</v>
      </c>
      <c r="AV19" s="5">
        <f>RANK(AT19,$AT$4:$AT$100,1)</f>
        <v>19</v>
      </c>
      <c r="AW19" s="4">
        <f>MIN(G19,I19,M19,Q19,U19,Y19,AC19,AG19,AK19,AO19)</f>
        <v>9</v>
      </c>
      <c r="AX19" s="5">
        <f>MAX(G19,I19,M19,Q19,U19,Y19,AC19,AG19,AK19,AO19)</f>
        <v>41</v>
      </c>
      <c r="AY19" s="6">
        <f>MEDIAN(G19,I19,M19,Q19,U19,Y19,AC19,AG19,AK19,AO19)</f>
        <v>23.5</v>
      </c>
    </row>
    <row r="20" spans="1:51" ht="15.75">
      <c r="A20" s="14" t="s">
        <v>3</v>
      </c>
      <c r="B20" s="14">
        <v>33</v>
      </c>
      <c r="C20" s="40" t="str">
        <f>IF(ISBLANK(B20),"",VLOOKUP(B20,Entries!$A$4:$C$65,3,FALSE))</f>
        <v>Grange Farm B</v>
      </c>
      <c r="D20" s="4">
        <f>IF(AT20=0,"",AT20)</f>
        <v>271</v>
      </c>
      <c r="E20" s="5">
        <f ca="1">IF(OR(ISBLANK(D20),D20=0,D20=""),"",RANK(D20,INDIRECT("D"&amp;VLOOKUP($A20,$BA$1:$BC$3,2,FALSE)&amp;":D"&amp;VLOOKUP($A20,$BA$1:$BC$3,3,FALSE)),1))</f>
        <v>17</v>
      </c>
      <c r="F20" s="5">
        <f>IF(OR(ISBLANK(D20),D20=0,D20=""),"",RANK(D20,$D$4:$D$100,1))</f>
        <v>21</v>
      </c>
      <c r="G20" s="4">
        <f ca="1">IF(ISNA(VLOOKUP($B20,INDIRECT("'"&amp;G$2&amp;"'!$B$3:$E$72"),4,FALSE)),"",VLOOKUP($B20,INDIRECT("'"&amp;G$2&amp;"'!$B$3:$E$72"),4,FALSE))</f>
        <v>22</v>
      </c>
      <c r="H20" s="5">
        <f ca="1">IF(G20="","",RANK(G20,INDIRECT("G"&amp;VLOOKUP($A20,$BA$1:$BC$3,2,FALSE)&amp;":G"&amp;VLOOKUP($A20,$BA$1:$BC$3,3,FALSE)),1))</f>
        <v>18</v>
      </c>
      <c r="I20" s="4">
        <f ca="1">IF(ISNA(VLOOKUP($B20,INDIRECT("'"&amp;I$2&amp;"'!$B$3:$E$72"),4,FALSE)),"",VLOOKUP($B20,INDIRECT("'"&amp;I$2&amp;"'!$B$3:$E$72"),4,FALSE))</f>
        <v>22</v>
      </c>
      <c r="J20" s="5">
        <f>IF(I20="","",G20+I20)</f>
        <v>44</v>
      </c>
      <c r="K20" s="5">
        <f ca="1">IF(J20="","",RANK(J20,INDIRECT("J"&amp;VLOOKUP($A20,$BA$1:$BC$3,2,FALSE)&amp;":J"&amp;VLOOKUP($A20,$BA$1:$BC$3,3,FALSE)),1))</f>
        <v>18</v>
      </c>
      <c r="L20" s="6">
        <f>IF(I20="","",RANK(J20,J$4:J$100,1))</f>
        <v>21</v>
      </c>
      <c r="M20" s="4">
        <f ca="1">IF(ISNA(VLOOKUP($B20,INDIRECT("'"&amp;M$2&amp;"'!$B$3:$E$72"),4,FALSE)),"",VLOOKUP($B20,INDIRECT("'"&amp;M$2&amp;"'!$B$3:$E$72"),4,FALSE))</f>
        <v>26</v>
      </c>
      <c r="N20" s="5">
        <f>IF(M20="","",M20+J20)</f>
        <v>70</v>
      </c>
      <c r="O20" s="5">
        <f ca="1">IF(N20="","",RANK(N20,INDIRECT("N"&amp;VLOOKUP($A20,$BA$1:$BC$3,2,FALSE)&amp;":N"&amp;VLOOKUP($A20,$BA$1:$BC$3,3,FALSE)),1))</f>
        <v>17</v>
      </c>
      <c r="P20" s="6">
        <f>IF(M20="","",RANK(N20,N$4:N$100,1))</f>
        <v>20</v>
      </c>
      <c r="Q20" s="4">
        <f ca="1">IF(ISNA(VLOOKUP($B20,INDIRECT("'"&amp;Q$2&amp;"'!$B$3:$E$72"),4,FALSE)),"",VLOOKUP($B20,INDIRECT("'"&amp;Q$2&amp;"'!$B$3:$E$72"),4,FALSE))</f>
        <v>10</v>
      </c>
      <c r="R20" s="5">
        <f>IF(Q20="","",Q20+N20)</f>
        <v>80</v>
      </c>
      <c r="S20" s="5">
        <f ca="1">IF(R20="","",RANK(R20,INDIRECT("R"&amp;VLOOKUP($A20,$BA$1:$BC$3,2,FALSE)&amp;":R"&amp;VLOOKUP($A20,$BA$1:$BC$3,3,FALSE)),1))</f>
        <v>15</v>
      </c>
      <c r="T20" s="6">
        <f>IF(Q20="","",RANK(R20,R$4:R$100,1))</f>
        <v>18</v>
      </c>
      <c r="U20" s="4">
        <f ca="1">IF(ISNA(VLOOKUP($B20,INDIRECT("'"&amp;U$2&amp;"'!$B$3:$E$72"),4,FALSE)),"",VLOOKUP($B20,INDIRECT("'"&amp;U$2&amp;"'!$B$3:$E$72"),4,FALSE))</f>
        <v>22</v>
      </c>
      <c r="V20" s="5">
        <f>IF(U20="","",U20+R20)</f>
        <v>102</v>
      </c>
      <c r="W20" s="5">
        <f ca="1">IF(V20="","",RANK(V20,INDIRECT("V"&amp;VLOOKUP($A20,$BA$1:$BC$3,2,FALSE)&amp;":V"&amp;VLOOKUP($A20,$BA$1:$BC$3,3,FALSE)),1))</f>
        <v>14</v>
      </c>
      <c r="X20" s="6">
        <f>IF(U20="","",RANK(V20,V$4:V$100,1))</f>
        <v>17</v>
      </c>
      <c r="Y20" s="4">
        <f ca="1">IF(ISNA(VLOOKUP($B20,INDIRECT("'"&amp;Y$2&amp;"'!$B$3:$E$72"),4,FALSE)),"",VLOOKUP($B20,INDIRECT("'"&amp;Y$2&amp;"'!$B$3:$E$72"),4,FALSE))</f>
        <v>28</v>
      </c>
      <c r="Z20" s="5">
        <f>IF(Y20="","",Y20+V20)</f>
        <v>130</v>
      </c>
      <c r="AA20" s="5">
        <f ca="1">IF(Z20="","",RANK(Z20,INDIRECT("Z"&amp;VLOOKUP($A20,$BA$1:$BC$3,2,FALSE)&amp;":Z"&amp;VLOOKUP($A20,$BA$1:$BC$3,3,FALSE)),1))</f>
        <v>15</v>
      </c>
      <c r="AB20" s="6">
        <f>IF(Y20="","",RANK(Z20,Z$4:Z$100,1))</f>
        <v>18</v>
      </c>
      <c r="AC20" s="4">
        <f ca="1">IF(ISNA(VLOOKUP($B20,INDIRECT("'"&amp;AC$2&amp;"'!$B$3:$E$72"),4,FALSE)),"",VLOOKUP($B20,INDIRECT("'"&amp;AC$2&amp;"'!$B$3:$E$72"),4,FALSE))</f>
        <v>54</v>
      </c>
      <c r="AD20" s="5">
        <f>IF(AC20="","",AC20+Z20)</f>
        <v>184</v>
      </c>
      <c r="AE20" s="5">
        <f ca="1">IF(AD20="","",RANK(AD20,INDIRECT("AD"&amp;VLOOKUP($A20,$BA$1:$BC$3,2,FALSE)&amp;":AD"&amp;VLOOKUP($A20,$BA$1:$BC$3,3,FALSE)),1))</f>
        <v>17</v>
      </c>
      <c r="AF20" s="6">
        <f>IF(AC20="","",RANK(AD20,AD$4:AD$100,1))</f>
        <v>20</v>
      </c>
      <c r="AG20" s="4">
        <f ca="1">IF(ISNA(VLOOKUP($B20,INDIRECT("'"&amp;AG$2&amp;"'!$B$3:$E$72"),4,FALSE)),"",VLOOKUP($B20,INDIRECT("'"&amp;AG$2&amp;"'!$B$3:$E$72"),4,FALSE))</f>
        <v>31</v>
      </c>
      <c r="AH20" s="5">
        <f>IF(AG20="","",AG20+AD20)</f>
        <v>215</v>
      </c>
      <c r="AI20" s="5">
        <f ca="1">IF(AH20="","",RANK(AH20,INDIRECT("AH"&amp;VLOOKUP($A20,$BA$1:$BC$3,2,FALSE)&amp;":AH"&amp;VLOOKUP($A20,$BA$1:$BC$3,3,FALSE)),1))</f>
        <v>17</v>
      </c>
      <c r="AJ20" s="6">
        <f>IF(AG20="","",RANK(AH20,AH$4:AH$100,1))</f>
        <v>20</v>
      </c>
      <c r="AK20" s="4">
        <f ca="1">IF(ISNA(VLOOKUP($B20,INDIRECT("'"&amp;AK$2&amp;"'!$B$3:$E$72"),4,FALSE)),"",VLOOKUP($B20,INDIRECT("'"&amp;AK$2&amp;"'!$B$3:$E$72"),4,FALSE))</f>
        <v>28</v>
      </c>
      <c r="AL20" s="5">
        <f>IF(AK20="","",AK20+AH20)</f>
        <v>243</v>
      </c>
      <c r="AM20" s="5">
        <f ca="1">IF(AL20="","",RANK(AL20,INDIRECT("AL"&amp;VLOOKUP($A20,$BA$1:$BC$3,2,FALSE)&amp;":AL"&amp;VLOOKUP($A20,$BA$1:$BC$3,3,FALSE)),1))</f>
        <v>17</v>
      </c>
      <c r="AN20" s="6">
        <f>IF(AK20="","",RANK(AL20,AL$4:AL$100,1))</f>
        <v>21</v>
      </c>
      <c r="AO20" s="4">
        <f ca="1">IF(ISNA(VLOOKUP($B20,INDIRECT("'"&amp;AO$2&amp;"'!$B$3:$E$72"),4,FALSE)),"",VLOOKUP($B20,INDIRECT("'"&amp;AO$2&amp;"'!$B$3:$E$72"),4,FALSE))</f>
        <v>28</v>
      </c>
      <c r="AP20" s="5">
        <f>IF(AO20="","",AO20+AL20)</f>
        <v>271</v>
      </c>
      <c r="AQ20" s="5">
        <f ca="1">IF(AP20="","",RANK(AP20,INDIRECT("AP"&amp;VLOOKUP($A20,$BA$1:$BC$3,2,FALSE)&amp;":AP"&amp;VLOOKUP($A20,$BA$1:$BC$3,3,FALSE)),1))</f>
        <v>17</v>
      </c>
      <c r="AR20" s="6">
        <f>IF(AO20="","",RANK(AP20,AP$4:AP$100,1))</f>
        <v>21</v>
      </c>
      <c r="AT20" s="4">
        <f>SUM(G20,I20,M20,Q20,U20,Y20,AC20,AG20,AK20,AO20)</f>
        <v>271</v>
      </c>
      <c r="AU20" s="5">
        <f ca="1">RANK(AT20,INDIRECT("AT"&amp;VLOOKUP($A20,$BA$1:$BC$3,2,FALSE)&amp;":AT"&amp;VLOOKUP($A20,$BA$1:$BC$3,3,FALSE)),1)</f>
        <v>17</v>
      </c>
      <c r="AV20" s="5">
        <f>RANK(AT20,$AT$4:$AT$100,1)</f>
        <v>21</v>
      </c>
      <c r="AW20" s="4">
        <f>MIN(G20,I20,M20,Q20,U20,Y20,AC20,AG20,AK20,AO20)</f>
        <v>10</v>
      </c>
      <c r="AX20" s="5">
        <f>MAX(G20,I20,M20,Q20,U20,Y20,AC20,AG20,AK20,AO20)</f>
        <v>54</v>
      </c>
      <c r="AY20" s="6">
        <f>MEDIAN(G20,I20,M20,Q20,U20,Y20,AC20,AG20,AK20,AO20)</f>
        <v>27</v>
      </c>
    </row>
    <row r="21" spans="1:51" ht="15.75">
      <c r="A21" s="14" t="s">
        <v>3</v>
      </c>
      <c r="B21" s="41">
        <v>1</v>
      </c>
      <c r="C21" s="40" t="str">
        <f>IF(ISBLANK(B21),"",VLOOKUP(B21,Entries!$A$4:$C$65,3,FALSE))</f>
        <v>Eton Manor AC</v>
      </c>
      <c r="D21" s="4">
        <f>IF(AT21=0,"",AT21)</f>
        <v>277</v>
      </c>
      <c r="E21" s="5">
        <f ca="1">IF(OR(ISBLANK(D21),D21=0,D21=""),"",RANK(D21,INDIRECT("D"&amp;VLOOKUP($A21,$BA$1:$BC$3,2,FALSE)&amp;":D"&amp;VLOOKUP($A21,$BA$1:$BC$3,3,FALSE)),1))</f>
        <v>18</v>
      </c>
      <c r="F21" s="5">
        <f>IF(OR(ISBLANK(D21),D21=0,D21=""),"",RANK(D21,$D$4:$D$100,1))</f>
        <v>22</v>
      </c>
      <c r="G21" s="4">
        <f ca="1">IF(ISNA(VLOOKUP($B21,INDIRECT("'"&amp;G$2&amp;"'!$B$3:$E$72"),4,FALSE)),"",VLOOKUP($B21,INDIRECT("'"&amp;G$2&amp;"'!$B$3:$E$72"),4,FALSE))</f>
        <v>56</v>
      </c>
      <c r="H21" s="5">
        <f ca="1">IF(G21="","",RANK(G21,INDIRECT("G"&amp;VLOOKUP($A21,$BA$1:$BC$3,2,FALSE)&amp;":G"&amp;VLOOKUP($A21,$BA$1:$BC$3,3,FALSE)),1))</f>
        <v>37</v>
      </c>
      <c r="I21" s="4">
        <f ca="1">IF(ISNA(VLOOKUP($B21,INDIRECT("'"&amp;I$2&amp;"'!$B$3:$E$72"),4,FALSE)),"",VLOOKUP($B21,INDIRECT("'"&amp;I$2&amp;"'!$B$3:$E$72"),4,FALSE))</f>
        <v>46</v>
      </c>
      <c r="J21" s="5">
        <f>IF(I21="","",G21+I21)</f>
        <v>102</v>
      </c>
      <c r="K21" s="5">
        <f ca="1">IF(J21="","",RANK(J21,INDIRECT("J"&amp;VLOOKUP($A21,$BA$1:$BC$3,2,FALSE)&amp;":J"&amp;VLOOKUP($A21,$BA$1:$BC$3,3,FALSE)),1))</f>
        <v>35</v>
      </c>
      <c r="L21" s="6">
        <f>IF(I21="","",RANK(J21,J$4:J$100,1))</f>
        <v>52</v>
      </c>
      <c r="M21" s="4">
        <f ca="1">IF(ISNA(VLOOKUP($B21,INDIRECT("'"&amp;M$2&amp;"'!$B$3:$E$72"),4,FALSE)),"",VLOOKUP($B21,INDIRECT("'"&amp;M$2&amp;"'!$B$3:$E$72"),4,FALSE))</f>
        <v>16</v>
      </c>
      <c r="N21" s="5">
        <f>IF(M21="","",M21+J21)</f>
        <v>118</v>
      </c>
      <c r="O21" s="5">
        <f ca="1">IF(N21="","",RANK(N21,INDIRECT("N"&amp;VLOOKUP($A21,$BA$1:$BC$3,2,FALSE)&amp;":N"&amp;VLOOKUP($A21,$BA$1:$BC$3,3,FALSE)),1))</f>
        <v>28</v>
      </c>
      <c r="P21" s="6">
        <f>IF(M21="","",RANK(N21,N$4:N$100,1))</f>
        <v>40</v>
      </c>
      <c r="Q21" s="4">
        <f ca="1">IF(ISNA(VLOOKUP($B21,INDIRECT("'"&amp;Q$2&amp;"'!$B$3:$E$72"),4,FALSE)),"",VLOOKUP($B21,INDIRECT("'"&amp;Q$2&amp;"'!$B$3:$E$72"),4,FALSE))</f>
        <v>14</v>
      </c>
      <c r="R21" s="5">
        <f>IF(Q21="","",Q21+N21)</f>
        <v>132</v>
      </c>
      <c r="S21" s="5">
        <f ca="1">IF(R21="","",RANK(R21,INDIRECT("R"&amp;VLOOKUP($A21,$BA$1:$BC$3,2,FALSE)&amp;":R"&amp;VLOOKUP($A21,$BA$1:$BC$3,3,FALSE)),1))</f>
        <v>22</v>
      </c>
      <c r="T21" s="6">
        <f>IF(Q21="","",RANK(R21,R$4:R$100,1))</f>
        <v>29</v>
      </c>
      <c r="U21" s="4">
        <f ca="1">IF(ISNA(VLOOKUP($B21,INDIRECT("'"&amp;U$2&amp;"'!$B$3:$E$72"),4,FALSE)),"",VLOOKUP($B21,INDIRECT("'"&amp;U$2&amp;"'!$B$3:$E$72"),4,FALSE))</f>
        <v>13</v>
      </c>
      <c r="V21" s="5">
        <f>IF(U21="","",U21+R21)</f>
        <v>145</v>
      </c>
      <c r="W21" s="5">
        <f ca="1">IF(V21="","",RANK(V21,INDIRECT("V"&amp;VLOOKUP($A21,$BA$1:$BC$3,2,FALSE)&amp;":V"&amp;VLOOKUP($A21,$BA$1:$BC$3,3,FALSE)),1))</f>
        <v>19</v>
      </c>
      <c r="X21" s="6">
        <f>IF(U21="","",RANK(V21,V$4:V$100,1))</f>
        <v>23</v>
      </c>
      <c r="Y21" s="4">
        <f ca="1">IF(ISNA(VLOOKUP($B21,INDIRECT("'"&amp;Y$2&amp;"'!$B$3:$E$72"),4,FALSE)),"",VLOOKUP($B21,INDIRECT("'"&amp;Y$2&amp;"'!$B$3:$E$72"),4,FALSE))</f>
        <v>48</v>
      </c>
      <c r="Z21" s="5">
        <f>IF(Y21="","",Y21+V21)</f>
        <v>193</v>
      </c>
      <c r="AA21" s="5">
        <f ca="1">IF(Z21="","",RANK(Z21,INDIRECT("Z"&amp;VLOOKUP($A21,$BA$1:$BC$3,2,FALSE)&amp;":Z"&amp;VLOOKUP($A21,$BA$1:$BC$3,3,FALSE)),1))</f>
        <v>20</v>
      </c>
      <c r="AB21" s="6">
        <f>IF(Y21="","",RANK(Z21,Z$4:Z$100,1))</f>
        <v>29</v>
      </c>
      <c r="AC21" s="4">
        <f ca="1">IF(ISNA(VLOOKUP($B21,INDIRECT("'"&amp;AC$2&amp;"'!$B$3:$E$72"),4,FALSE)),"",VLOOKUP($B21,INDIRECT("'"&amp;AC$2&amp;"'!$B$3:$E$72"),4,FALSE))</f>
        <v>30</v>
      </c>
      <c r="AD21" s="5">
        <f>IF(AC21="","",AC21+Z21)</f>
        <v>223</v>
      </c>
      <c r="AE21" s="5">
        <f ca="1">IF(AD21="","",RANK(AD21,INDIRECT("AD"&amp;VLOOKUP($A21,$BA$1:$BC$3,2,FALSE)&amp;":AD"&amp;VLOOKUP($A21,$BA$1:$BC$3,3,FALSE)),1))</f>
        <v>20</v>
      </c>
      <c r="AF21" s="6">
        <f>IF(AC21="","",RANK(AD21,AD$4:AD$100,1))</f>
        <v>27</v>
      </c>
      <c r="AG21" s="4">
        <f ca="1">IF(ISNA(VLOOKUP($B21,INDIRECT("'"&amp;AG$2&amp;"'!$B$3:$E$72"),4,FALSE)),"",VLOOKUP($B21,INDIRECT("'"&amp;AG$2&amp;"'!$B$3:$E$72"),4,FALSE))</f>
        <v>10</v>
      </c>
      <c r="AH21" s="5">
        <f>IF(AG21="","",AG21+AD21)</f>
        <v>233</v>
      </c>
      <c r="AI21" s="5">
        <f ca="1">IF(AH21="","",RANK(AH21,INDIRECT("AH"&amp;VLOOKUP($A21,$BA$1:$BC$3,2,FALSE)&amp;":AH"&amp;VLOOKUP($A21,$BA$1:$BC$3,3,FALSE)),1))</f>
        <v>18</v>
      </c>
      <c r="AJ21" s="6">
        <f>IF(AG21="","",RANK(AH21,AH$4:AH$100,1))</f>
        <v>23</v>
      </c>
      <c r="AK21" s="4">
        <f ca="1">IF(ISNA(VLOOKUP($B21,INDIRECT("'"&amp;AK$2&amp;"'!$B$3:$E$72"),4,FALSE)),"",VLOOKUP($B21,INDIRECT("'"&amp;AK$2&amp;"'!$B$3:$E$72"),4,FALSE))</f>
        <v>12</v>
      </c>
      <c r="AL21" s="5">
        <f>IF(AK21="","",AK21+AH21)</f>
        <v>245</v>
      </c>
      <c r="AM21" s="5">
        <f ca="1">IF(AL21="","",RANK(AL21,INDIRECT("AL"&amp;VLOOKUP($A21,$BA$1:$BC$3,2,FALSE)&amp;":AL"&amp;VLOOKUP($A21,$BA$1:$BC$3,3,FALSE)),1))</f>
        <v>18</v>
      </c>
      <c r="AN21" s="6">
        <f>IF(AK21="","",RANK(AL21,AL$4:AL$100,1))</f>
        <v>22</v>
      </c>
      <c r="AO21" s="4">
        <f ca="1">IF(ISNA(VLOOKUP($B21,INDIRECT("'"&amp;AO$2&amp;"'!$B$3:$E$72"),4,FALSE)),"",VLOOKUP($B21,INDIRECT("'"&amp;AO$2&amp;"'!$B$3:$E$72"),4,FALSE))</f>
        <v>32</v>
      </c>
      <c r="AP21" s="5">
        <f>IF(AO21="","",AO21+AL21)</f>
        <v>277</v>
      </c>
      <c r="AQ21" s="5">
        <f ca="1">IF(AP21="","",RANK(AP21,INDIRECT("AP"&amp;VLOOKUP($A21,$BA$1:$BC$3,2,FALSE)&amp;":AP"&amp;VLOOKUP($A21,$BA$1:$BC$3,3,FALSE)),1))</f>
        <v>18</v>
      </c>
      <c r="AR21" s="6">
        <f>IF(AO21="","",RANK(AP21,AP$4:AP$100,1))</f>
        <v>22</v>
      </c>
      <c r="AT21" s="4">
        <f>SUM(G21,I21,M21,Q21,U21,Y21,AC21,AG21,AK21,AO21)</f>
        <v>277</v>
      </c>
      <c r="AU21" s="5">
        <f ca="1">RANK(AT21,INDIRECT("AT"&amp;VLOOKUP($A21,$BA$1:$BC$3,2,FALSE)&amp;":AT"&amp;VLOOKUP($A21,$BA$1:$BC$3,3,FALSE)),1)</f>
        <v>18</v>
      </c>
      <c r="AV21" s="5">
        <f>RANK(AT21,$AT$4:$AT$100,1)</f>
        <v>22</v>
      </c>
      <c r="AW21" s="4">
        <f>MIN(G21,I21,M21,Q21,U21,Y21,AC21,AG21,AK21,AO21)</f>
        <v>10</v>
      </c>
      <c r="AX21" s="5">
        <f>MAX(G21,I21,M21,Q21,U21,Y21,AC21,AG21,AK21,AO21)</f>
        <v>56</v>
      </c>
      <c r="AY21" s="6">
        <f>MEDIAN(G21,I21,M21,Q21,U21,Y21,AC21,AG21,AK21,AO21)</f>
        <v>23</v>
      </c>
    </row>
    <row r="22" spans="1:51" ht="15.75">
      <c r="A22" s="14" t="s">
        <v>3</v>
      </c>
      <c r="B22" s="14">
        <v>40</v>
      </c>
      <c r="C22" s="40" t="str">
        <f>IF(ISBLANK(B22),"",VLOOKUP(B22,Entries!$A$4:$C$65,3,FALSE))</f>
        <v>Pitsea RC Men </v>
      </c>
      <c r="D22" s="4">
        <f>IF(AT22=0,"",AT22)</f>
        <v>303</v>
      </c>
      <c r="E22" s="5">
        <f ca="1">IF(OR(ISBLANK(D22),D22=0,D22=""),"",RANK(D22,INDIRECT("D"&amp;VLOOKUP($A22,$BA$1:$BC$3,2,FALSE)&amp;":D"&amp;VLOOKUP($A22,$BA$1:$BC$3,3,FALSE)),1))</f>
        <v>19</v>
      </c>
      <c r="F22" s="5">
        <f>IF(OR(ISBLANK(D22),D22=0,D22=""),"",RANK(D22,$D$4:$D$100,1))</f>
        <v>23</v>
      </c>
      <c r="G22" s="4">
        <f ca="1">IF(ISNA(VLOOKUP($B22,INDIRECT("'"&amp;G$2&amp;"'!$B$3:$E$72"),4,FALSE)),"",VLOOKUP($B22,INDIRECT("'"&amp;G$2&amp;"'!$B$3:$E$72"),4,FALSE))</f>
        <v>52</v>
      </c>
      <c r="H22" s="5">
        <f ca="1">IF(G22="","",RANK(G22,INDIRECT("G"&amp;VLOOKUP($A22,$BA$1:$BC$3,2,FALSE)&amp;":G"&amp;VLOOKUP($A22,$BA$1:$BC$3,3,FALSE)),1))</f>
        <v>34</v>
      </c>
      <c r="I22" s="4">
        <f ca="1">IF(ISNA(VLOOKUP($B22,INDIRECT("'"&amp;I$2&amp;"'!$B$3:$E$72"),4,FALSE)),"",VLOOKUP($B22,INDIRECT("'"&amp;I$2&amp;"'!$B$3:$E$72"),4,FALSE))</f>
        <v>8</v>
      </c>
      <c r="J22" s="5">
        <f>IF(I22="","",G22+I22)</f>
        <v>60</v>
      </c>
      <c r="K22" s="5">
        <f ca="1">IF(J22="","",RANK(J22,INDIRECT("J"&amp;VLOOKUP($A22,$BA$1:$BC$3,2,FALSE)&amp;":J"&amp;VLOOKUP($A22,$BA$1:$BC$3,3,FALSE)),1))</f>
        <v>23</v>
      </c>
      <c r="L22" s="6">
        <f>IF(I22="","",RANK(J22,J$4:J$100,1))</f>
        <v>29</v>
      </c>
      <c r="M22" s="4">
        <f ca="1">IF(ISNA(VLOOKUP($B22,INDIRECT("'"&amp;M$2&amp;"'!$B$3:$E$72"),4,FALSE)),"",VLOOKUP($B22,INDIRECT("'"&amp;M$2&amp;"'!$B$3:$E$72"),4,FALSE))</f>
        <v>49</v>
      </c>
      <c r="N22" s="5">
        <f>IF(M22="","",M22+J22)</f>
        <v>109</v>
      </c>
      <c r="O22" s="5">
        <f ca="1">IF(N22="","",RANK(N22,INDIRECT("N"&amp;VLOOKUP($A22,$BA$1:$BC$3,2,FALSE)&amp;":N"&amp;VLOOKUP($A22,$BA$1:$BC$3,3,FALSE)),1))</f>
        <v>25</v>
      </c>
      <c r="P22" s="6">
        <f>IF(M22="","",RANK(N22,N$4:N$100,1))</f>
        <v>36</v>
      </c>
      <c r="Q22" s="4">
        <f ca="1">IF(ISNA(VLOOKUP($B22,INDIRECT("'"&amp;Q$2&amp;"'!$B$3:$E$72"),4,FALSE)),"",VLOOKUP($B22,INDIRECT("'"&amp;Q$2&amp;"'!$B$3:$E$72"),4,FALSE))</f>
        <v>41</v>
      </c>
      <c r="R22" s="5">
        <f>IF(Q22="","",Q22+N22)</f>
        <v>150</v>
      </c>
      <c r="S22" s="5">
        <f ca="1">IF(R22="","",RANK(R22,INDIRECT("R"&amp;VLOOKUP($A22,$BA$1:$BC$3,2,FALSE)&amp;":R"&amp;VLOOKUP($A22,$BA$1:$BC$3,3,FALSE)),1))</f>
        <v>24</v>
      </c>
      <c r="T22" s="6">
        <f>IF(Q22="","",RANK(R22,R$4:R$100,1))</f>
        <v>35</v>
      </c>
      <c r="U22" s="4">
        <f ca="1">IF(ISNA(VLOOKUP($B22,INDIRECT("'"&amp;U$2&amp;"'!$B$3:$E$72"),4,FALSE)),"",VLOOKUP($B22,INDIRECT("'"&amp;U$2&amp;"'!$B$3:$E$72"),4,FALSE))</f>
        <v>33</v>
      </c>
      <c r="V22" s="5">
        <f>IF(U22="","",U22+R22)</f>
        <v>183</v>
      </c>
      <c r="W22" s="5">
        <f ca="1">IF(V22="","",RANK(V22,INDIRECT("V"&amp;VLOOKUP($A22,$BA$1:$BC$3,2,FALSE)&amp;":V"&amp;VLOOKUP($A22,$BA$1:$BC$3,3,FALSE)),1))</f>
        <v>25</v>
      </c>
      <c r="X22" s="6">
        <f>IF(U22="","",RANK(V22,V$4:V$100,1))</f>
        <v>36</v>
      </c>
      <c r="Y22" s="4">
        <f ca="1">IF(ISNA(VLOOKUP($B22,INDIRECT("'"&amp;Y$2&amp;"'!$B$3:$E$72"),4,FALSE)),"",VLOOKUP($B22,INDIRECT("'"&amp;Y$2&amp;"'!$B$3:$E$72"),4,FALSE))</f>
        <v>25</v>
      </c>
      <c r="Z22" s="5">
        <f>IF(Y22="","",Y22+V22)</f>
        <v>208</v>
      </c>
      <c r="AA22" s="5">
        <f ca="1">IF(Z22="","",RANK(Z22,INDIRECT("Z"&amp;VLOOKUP($A22,$BA$1:$BC$3,2,FALSE)&amp;":Z"&amp;VLOOKUP($A22,$BA$1:$BC$3,3,FALSE)),1))</f>
        <v>22</v>
      </c>
      <c r="AB22" s="6">
        <f>IF(Y22="","",RANK(Z22,Z$4:Z$100,1))</f>
        <v>32</v>
      </c>
      <c r="AC22" s="4">
        <f ca="1">IF(ISNA(VLOOKUP($B22,INDIRECT("'"&amp;AC$2&amp;"'!$B$3:$E$72"),4,FALSE)),"",VLOOKUP($B22,INDIRECT("'"&amp;AC$2&amp;"'!$B$3:$E$72"),4,FALSE))</f>
        <v>46</v>
      </c>
      <c r="AD22" s="5">
        <f>IF(AC22="","",AC22+Z22)</f>
        <v>254</v>
      </c>
      <c r="AE22" s="5">
        <f ca="1">IF(AD22="","",RANK(AD22,INDIRECT("AD"&amp;VLOOKUP($A22,$BA$1:$BC$3,2,FALSE)&amp;":AD"&amp;VLOOKUP($A22,$BA$1:$BC$3,3,FALSE)),1))</f>
        <v>24</v>
      </c>
      <c r="AF22" s="6">
        <f>IF(AC22="","",RANK(AD22,AD$4:AD$100,1))</f>
        <v>36</v>
      </c>
      <c r="AG22" s="4">
        <f ca="1">IF(ISNA(VLOOKUP($B22,INDIRECT("'"&amp;AG$2&amp;"'!$B$3:$E$72"),4,FALSE)),"",VLOOKUP($B22,INDIRECT("'"&amp;AG$2&amp;"'!$B$3:$E$72"),4,FALSE))</f>
        <v>29</v>
      </c>
      <c r="AH22" s="5">
        <f>IF(AG22="","",AG22+AD22)</f>
        <v>283</v>
      </c>
      <c r="AI22" s="5">
        <f ca="1">IF(AH22="","",RANK(AH22,INDIRECT("AH"&amp;VLOOKUP($A22,$BA$1:$BC$3,2,FALSE)&amp;":AH"&amp;VLOOKUP($A22,$BA$1:$BC$3,3,FALSE)),1))</f>
        <v>24</v>
      </c>
      <c r="AJ22" s="6">
        <f>IF(AG22="","",RANK(AH22,AH$4:AH$100,1))</f>
        <v>35</v>
      </c>
      <c r="AK22" s="4">
        <f ca="1">IF(ISNA(VLOOKUP($B22,INDIRECT("'"&amp;AK$2&amp;"'!$B$3:$E$72"),4,FALSE)),"",VLOOKUP($B22,INDIRECT("'"&amp;AK$2&amp;"'!$B$3:$E$72"),4,FALSE))</f>
        <v>8</v>
      </c>
      <c r="AL22" s="5">
        <f>IF(AK22="","",AK22+AH22)</f>
        <v>291</v>
      </c>
      <c r="AM22" s="5">
        <f ca="1">IF(AL22="","",RANK(AL22,INDIRECT("AL"&amp;VLOOKUP($A22,$BA$1:$BC$3,2,FALSE)&amp;":AL"&amp;VLOOKUP($A22,$BA$1:$BC$3,3,FALSE)),1))</f>
        <v>22</v>
      </c>
      <c r="AN22" s="6">
        <f>IF(AK22="","",RANK(AL22,AL$4:AL$100,1))</f>
        <v>31</v>
      </c>
      <c r="AO22" s="4">
        <f ca="1">IF(ISNA(VLOOKUP($B22,INDIRECT("'"&amp;AO$2&amp;"'!$B$3:$E$72"),4,FALSE)),"",VLOOKUP($B22,INDIRECT("'"&amp;AO$2&amp;"'!$B$3:$E$72"),4,FALSE))</f>
        <v>12</v>
      </c>
      <c r="AP22" s="5">
        <f>IF(AO22="","",AO22+AL22)</f>
        <v>303</v>
      </c>
      <c r="AQ22" s="5">
        <f ca="1">IF(AP22="","",RANK(AP22,INDIRECT("AP"&amp;VLOOKUP($A22,$BA$1:$BC$3,2,FALSE)&amp;":AP"&amp;VLOOKUP($A22,$BA$1:$BC$3,3,FALSE)),1))</f>
        <v>19</v>
      </c>
      <c r="AR22" s="6">
        <f>IF(AO22="","",RANK(AP22,AP$4:AP$100,1))</f>
        <v>23</v>
      </c>
      <c r="AT22" s="4">
        <f>SUM(G22,I22,M22,Q22,U22,Y22,AC22,AG22,AK22,AO22)</f>
        <v>303</v>
      </c>
      <c r="AU22" s="5">
        <f ca="1">RANK(AT22,INDIRECT("AT"&amp;VLOOKUP($A22,$BA$1:$BC$3,2,FALSE)&amp;":AT"&amp;VLOOKUP($A22,$BA$1:$BC$3,3,FALSE)),1)</f>
        <v>19</v>
      </c>
      <c r="AV22" s="5">
        <f>RANK(AT22,$AT$4:$AT$100,1)</f>
        <v>23</v>
      </c>
      <c r="AW22" s="4">
        <f>MIN(G22,I22,M22,Q22,U22,Y22,AC22,AG22,AK22,AO22)</f>
        <v>8</v>
      </c>
      <c r="AX22" s="5">
        <f>MAX(G22,I22,M22,Q22,U22,Y22,AC22,AG22,AK22,AO22)</f>
        <v>52</v>
      </c>
      <c r="AY22" s="6">
        <f>MEDIAN(G22,I22,M22,Q22,U22,Y22,AC22,AG22,AK22,AO22)</f>
        <v>31</v>
      </c>
    </row>
    <row r="23" spans="1:52" ht="15.75">
      <c r="A23" s="14" t="s">
        <v>3</v>
      </c>
      <c r="B23" s="14">
        <v>29</v>
      </c>
      <c r="C23" s="40" t="str">
        <f>IF(ISBLANK(B23),"",VLOOKUP(B23,Entries!$A$4:$C$65,3,FALSE))</f>
        <v>Ilford B</v>
      </c>
      <c r="D23" s="4">
        <f>IF(AT23=0,"",AT23)</f>
        <v>313</v>
      </c>
      <c r="E23" s="5">
        <f ca="1">IF(OR(ISBLANK(D23),D23=0,D23=""),"",RANK(D23,INDIRECT("D"&amp;VLOOKUP($A23,$BA$1:$BC$3,2,FALSE)&amp;":D"&amp;VLOOKUP($A23,$BA$1:$BC$3,3,FALSE)),1))</f>
        <v>20</v>
      </c>
      <c r="F23" s="5">
        <f>IF(OR(ISBLANK(D23),D23=0,D23=""),"",RANK(D23,$D$4:$D$100,1))</f>
        <v>27</v>
      </c>
      <c r="G23" s="4">
        <f ca="1">IF(ISNA(VLOOKUP($B23,INDIRECT("'"&amp;G$2&amp;"'!$B$3:$E$72"),4,FALSE)),"",VLOOKUP($B23,INDIRECT("'"&amp;G$2&amp;"'!$B$3:$E$72"),4,FALSE))</f>
        <v>44</v>
      </c>
      <c r="H23" s="5">
        <f ca="1">IF(G23="","",RANK(G23,INDIRECT("G"&amp;VLOOKUP($A23,$BA$1:$BC$3,2,FALSE)&amp;":G"&amp;VLOOKUP($A23,$BA$1:$BC$3,3,FALSE)),1))</f>
        <v>29</v>
      </c>
      <c r="I23" s="4">
        <f ca="1">IF(ISNA(VLOOKUP($B23,INDIRECT("'"&amp;I$2&amp;"'!$B$3:$E$72"),4,FALSE)),"",VLOOKUP($B23,INDIRECT("'"&amp;I$2&amp;"'!$B$3:$E$72"),4,FALSE))</f>
        <v>49</v>
      </c>
      <c r="J23" s="5">
        <f>IF(I23="","",G23+I23)</f>
        <v>93</v>
      </c>
      <c r="K23" s="5">
        <f ca="1">IF(J23="","",RANK(J23,INDIRECT("J"&amp;VLOOKUP($A23,$BA$1:$BC$3,2,FALSE)&amp;":J"&amp;VLOOKUP($A23,$BA$1:$BC$3,3,FALSE)),1))</f>
        <v>30</v>
      </c>
      <c r="L23" s="6">
        <f>IF(I23="","",RANK(J23,J$4:J$100,1))</f>
        <v>45</v>
      </c>
      <c r="M23" s="4">
        <f ca="1">IF(ISNA(VLOOKUP($B23,INDIRECT("'"&amp;M$2&amp;"'!$B$3:$E$72"),4,FALSE)),"",VLOOKUP($B23,INDIRECT("'"&amp;M$2&amp;"'!$B$3:$E$72"),4,FALSE))</f>
        <v>38</v>
      </c>
      <c r="N23" s="5">
        <f>IF(M23="","",M23+J23)</f>
        <v>131</v>
      </c>
      <c r="O23" s="5">
        <f ca="1">IF(N23="","",RANK(N23,INDIRECT("N"&amp;VLOOKUP($A23,$BA$1:$BC$3,2,FALSE)&amp;":N"&amp;VLOOKUP($A23,$BA$1:$BC$3,3,FALSE)),1))</f>
        <v>29</v>
      </c>
      <c r="P23" s="6">
        <f>IF(M23="","",RANK(N23,N$4:N$100,1))</f>
        <v>42</v>
      </c>
      <c r="Q23" s="4">
        <f ca="1">IF(ISNA(VLOOKUP($B23,INDIRECT("'"&amp;Q$2&amp;"'!$B$3:$E$72"),4,FALSE)),"",VLOOKUP($B23,INDIRECT("'"&amp;Q$2&amp;"'!$B$3:$E$72"),4,FALSE))</f>
        <v>51</v>
      </c>
      <c r="R23" s="5">
        <f>IF(Q23="","",Q23+N23)</f>
        <v>182</v>
      </c>
      <c r="S23" s="5">
        <f ca="1">IF(R23="","",RANK(R23,INDIRECT("R"&amp;VLOOKUP($A23,$BA$1:$BC$3,2,FALSE)&amp;":R"&amp;VLOOKUP($A23,$BA$1:$BC$3,3,FALSE)),1))</f>
        <v>31</v>
      </c>
      <c r="T23" s="6">
        <f>IF(Q23="","",RANK(R23,R$4:R$100,1))</f>
        <v>47</v>
      </c>
      <c r="U23" s="4">
        <f ca="1">IF(ISNA(VLOOKUP($B23,INDIRECT("'"&amp;U$2&amp;"'!$B$3:$E$72"),4,FALSE)),"",VLOOKUP($B23,INDIRECT("'"&amp;U$2&amp;"'!$B$3:$E$72"),4,FALSE))</f>
        <v>20</v>
      </c>
      <c r="V23" s="5">
        <f>IF(U23="","",U23+R23)</f>
        <v>202</v>
      </c>
      <c r="W23" s="5">
        <f ca="1">IF(V23="","",RANK(V23,INDIRECT("V"&amp;VLOOKUP($A23,$BA$1:$BC$3,2,FALSE)&amp;":V"&amp;VLOOKUP($A23,$BA$1:$BC$3,3,FALSE)),1))</f>
        <v>28</v>
      </c>
      <c r="X23" s="6">
        <f>IF(U23="","",RANK(V23,V$4:V$100,1))</f>
        <v>42</v>
      </c>
      <c r="Y23" s="4">
        <f ca="1">IF(ISNA(VLOOKUP($B23,INDIRECT("'"&amp;Y$2&amp;"'!$B$3:$E$72"),4,FALSE)),"",VLOOKUP($B23,INDIRECT("'"&amp;Y$2&amp;"'!$B$3:$E$72"),4,FALSE))</f>
        <v>15</v>
      </c>
      <c r="Z23" s="5">
        <f>IF(Y23="","",Y23+V23)</f>
        <v>217</v>
      </c>
      <c r="AA23" s="5">
        <f ca="1">IF(Z23="","",RANK(Z23,INDIRECT("Z"&amp;VLOOKUP($A23,$BA$1:$BC$3,2,FALSE)&amp;":Z"&amp;VLOOKUP($A23,$BA$1:$BC$3,3,FALSE)),1))</f>
        <v>24</v>
      </c>
      <c r="AB23" s="6">
        <f>IF(Y23="","",RANK(Z23,Z$4:Z$100,1))</f>
        <v>35</v>
      </c>
      <c r="AC23" s="4">
        <f ca="1">IF(ISNA(VLOOKUP($B23,INDIRECT("'"&amp;AC$2&amp;"'!$B$3:$E$72"),4,FALSE)),"",VLOOKUP($B23,INDIRECT("'"&amp;AC$2&amp;"'!$B$3:$E$72"),4,FALSE))</f>
        <v>16</v>
      </c>
      <c r="AD23" s="5">
        <f>IF(AC23="","",AC23+Z23)</f>
        <v>233</v>
      </c>
      <c r="AE23" s="5">
        <f ca="1">IF(AD23="","",RANK(AD23,INDIRECT("AD"&amp;VLOOKUP($A23,$BA$1:$BC$3,2,FALSE)&amp;":AD"&amp;VLOOKUP($A23,$BA$1:$BC$3,3,FALSE)),1))</f>
        <v>21</v>
      </c>
      <c r="AF23" s="6">
        <f>IF(AC23="","",RANK(AD23,AD$4:AD$100,1))</f>
        <v>30</v>
      </c>
      <c r="AG23" s="4">
        <f ca="1">IF(ISNA(VLOOKUP($B23,INDIRECT("'"&amp;AG$2&amp;"'!$B$3:$E$72"),4,FALSE)),"",VLOOKUP($B23,INDIRECT("'"&amp;AG$2&amp;"'!$B$3:$E$72"),4,FALSE))</f>
        <v>7</v>
      </c>
      <c r="AH23" s="5">
        <f>IF(AG23="","",AG23+AD23)</f>
        <v>240</v>
      </c>
      <c r="AI23" s="5">
        <f ca="1">IF(AH23="","",RANK(AH23,INDIRECT("AH"&amp;VLOOKUP($A23,$BA$1:$BC$3,2,FALSE)&amp;":AH"&amp;VLOOKUP($A23,$BA$1:$BC$3,3,FALSE)),1))</f>
        <v>20</v>
      </c>
      <c r="AJ23" s="6">
        <f>IF(AG23="","",RANK(AH23,AH$4:AH$100,1))</f>
        <v>25</v>
      </c>
      <c r="AK23" s="4">
        <f ca="1">IF(ISNA(VLOOKUP($B23,INDIRECT("'"&amp;AK$2&amp;"'!$B$3:$E$72"),4,FALSE)),"",VLOOKUP($B23,INDIRECT("'"&amp;AK$2&amp;"'!$B$3:$E$72"),4,FALSE))</f>
        <v>19</v>
      </c>
      <c r="AL23" s="5">
        <f>IF(AK23="","",AK23+AH23)</f>
        <v>259</v>
      </c>
      <c r="AM23" s="5">
        <f ca="1">IF(AL23="","",RANK(AL23,INDIRECT("AL"&amp;VLOOKUP($A23,$BA$1:$BC$3,2,FALSE)&amp;":AL"&amp;VLOOKUP($A23,$BA$1:$BC$3,3,FALSE)),1))</f>
        <v>19</v>
      </c>
      <c r="AN23" s="6">
        <f>IF(AK23="","",RANK(AL23,AL$4:AL$100,1))</f>
        <v>23</v>
      </c>
      <c r="AO23" s="4">
        <f ca="1">IF(ISNA(VLOOKUP($B23,INDIRECT("'"&amp;AO$2&amp;"'!$B$3:$E$72"),4,FALSE)),"",VLOOKUP($B23,INDIRECT("'"&amp;AO$2&amp;"'!$B$3:$E$72"),4,FALSE))</f>
        <v>54</v>
      </c>
      <c r="AP23" s="5">
        <f>IF(AO23="","",AO23+AL23)</f>
        <v>313</v>
      </c>
      <c r="AQ23" s="5">
        <f ca="1">IF(AP23="","",RANK(AP23,INDIRECT("AP"&amp;VLOOKUP($A23,$BA$1:$BC$3,2,FALSE)&amp;":AP"&amp;VLOOKUP($A23,$BA$1:$BC$3,3,FALSE)),1))</f>
        <v>20</v>
      </c>
      <c r="AR23" s="6">
        <f>IF(AO23="","",RANK(AP23,AP$4:AP$100,1))</f>
        <v>27</v>
      </c>
      <c r="AT23" s="4">
        <f>SUM(G23,I23,M23,Q23,U23,Y23,AC23,AG23,AK23,AO23)</f>
        <v>313</v>
      </c>
      <c r="AU23" s="5">
        <f ca="1">RANK(AT23,INDIRECT("AT"&amp;VLOOKUP($A23,$BA$1:$BC$3,2,FALSE)&amp;":AT"&amp;VLOOKUP($A23,$BA$1:$BC$3,3,FALSE)),1)</f>
        <v>20</v>
      </c>
      <c r="AV23" s="5">
        <f>RANK(AT23,$AT$4:$AT$100,1)</f>
        <v>27</v>
      </c>
      <c r="AW23" s="4">
        <f>MIN(G23,I23,M23,Q23,U23,Y23,AC23,AG23,AK23,AO23)</f>
        <v>7</v>
      </c>
      <c r="AX23" s="5">
        <f>MAX(G23,I23,M23,Q23,U23,Y23,AC23,AG23,AK23,AO23)</f>
        <v>54</v>
      </c>
      <c r="AY23" s="6">
        <f>MEDIAN(G23,I23,M23,Q23,U23,Y23,AC23,AG23,AK23,AO23)</f>
        <v>29</v>
      </c>
      <c r="AZ23" s="1" t="s">
        <v>26</v>
      </c>
    </row>
    <row r="24" spans="1:51" ht="15.75">
      <c r="A24" s="14" t="s">
        <v>3</v>
      </c>
      <c r="B24" s="14">
        <v>37</v>
      </c>
      <c r="C24" s="40" t="str">
        <f>IF(ISBLANK(B24),"",VLOOKUP(B24,Entries!$A$4:$C$65,3,FALSE))</f>
        <v>Springfield Striders Mixed B</v>
      </c>
      <c r="D24" s="4">
        <f>IF(AT24=0,"",AT24)</f>
        <v>330</v>
      </c>
      <c r="E24" s="5">
        <f ca="1">IF(OR(ISBLANK(D24),D24=0,D24=""),"",RANK(D24,INDIRECT("D"&amp;VLOOKUP($A24,$BA$1:$BC$3,2,FALSE)&amp;":D"&amp;VLOOKUP($A24,$BA$1:$BC$3,3,FALSE)),1))</f>
        <v>21</v>
      </c>
      <c r="F24" s="5">
        <f>IF(OR(ISBLANK(D24),D24=0,D24=""),"",RANK(D24,$D$4:$D$100,1))</f>
        <v>30</v>
      </c>
      <c r="G24" s="4">
        <f ca="1">IF(ISNA(VLOOKUP($B24,INDIRECT("'"&amp;G$2&amp;"'!$B$3:$E$72"),4,FALSE)),"",VLOOKUP($B24,INDIRECT("'"&amp;G$2&amp;"'!$B$3:$E$72"),4,FALSE))</f>
        <v>25</v>
      </c>
      <c r="H24" s="5">
        <f ca="1">IF(G24="","",RANK(G24,INDIRECT("G"&amp;VLOOKUP($A24,$BA$1:$BC$3,2,FALSE)&amp;":G"&amp;VLOOKUP($A24,$BA$1:$BC$3,3,FALSE)),1))</f>
        <v>20</v>
      </c>
      <c r="I24" s="4">
        <f ca="1">IF(ISNA(VLOOKUP($B24,INDIRECT("'"&amp;I$2&amp;"'!$B$3:$E$72"),4,FALSE)),"",VLOOKUP($B24,INDIRECT("'"&amp;I$2&amp;"'!$B$3:$E$72"),4,FALSE))</f>
        <v>15</v>
      </c>
      <c r="J24" s="5">
        <f>IF(I24="","",G24+I24)</f>
        <v>40</v>
      </c>
      <c r="K24" s="5">
        <f ca="1">IF(J24="","",RANK(J24,INDIRECT("J"&amp;VLOOKUP($A24,$BA$1:$BC$3,2,FALSE)&amp;":J"&amp;VLOOKUP($A24,$BA$1:$BC$3,3,FALSE)),1))</f>
        <v>16</v>
      </c>
      <c r="L24" s="6">
        <f>IF(I24="","",RANK(J24,J$4:J$100,1))</f>
        <v>19</v>
      </c>
      <c r="M24" s="4">
        <f ca="1">IF(ISNA(VLOOKUP($B24,INDIRECT("'"&amp;M$2&amp;"'!$B$3:$E$72"),4,FALSE)),"",VLOOKUP($B24,INDIRECT("'"&amp;M$2&amp;"'!$B$3:$E$72"),4,FALSE))</f>
        <v>43</v>
      </c>
      <c r="N24" s="5">
        <f>IF(M24="","",M24+J24)</f>
        <v>83</v>
      </c>
      <c r="O24" s="5">
        <f ca="1">IF(N24="","",RANK(N24,INDIRECT("N"&amp;VLOOKUP($A24,$BA$1:$BC$3,2,FALSE)&amp;":N"&amp;VLOOKUP($A24,$BA$1:$BC$3,3,FALSE)),1))</f>
        <v>19</v>
      </c>
      <c r="P24" s="6">
        <f>IF(M24="","",RANK(N24,N$4:N$100,1))</f>
        <v>23</v>
      </c>
      <c r="Q24" s="4">
        <f ca="1">IF(ISNA(VLOOKUP($B24,INDIRECT("'"&amp;Q$2&amp;"'!$B$3:$E$72"),4,FALSE)),"",VLOOKUP($B24,INDIRECT("'"&amp;Q$2&amp;"'!$B$3:$E$72"),4,FALSE))</f>
        <v>33</v>
      </c>
      <c r="R24" s="5">
        <f>IF(Q24="","",Q24+N24)</f>
        <v>116</v>
      </c>
      <c r="S24" s="5">
        <f ca="1">IF(R24="","",RANK(R24,INDIRECT("R"&amp;VLOOKUP($A24,$BA$1:$BC$3,2,FALSE)&amp;":R"&amp;VLOOKUP($A24,$BA$1:$BC$3,3,FALSE)),1))</f>
        <v>19</v>
      </c>
      <c r="T24" s="6">
        <f>IF(Q24="","",RANK(R24,R$4:R$100,1))</f>
        <v>23</v>
      </c>
      <c r="U24" s="4">
        <f ca="1">IF(ISNA(VLOOKUP($B24,INDIRECT("'"&amp;U$2&amp;"'!$B$3:$E$72"),4,FALSE)),"",VLOOKUP($B24,INDIRECT("'"&amp;U$2&amp;"'!$B$3:$E$72"),4,FALSE))</f>
        <v>27</v>
      </c>
      <c r="V24" s="5">
        <f>IF(U24="","",U24+R24)</f>
        <v>143</v>
      </c>
      <c r="W24" s="5">
        <f ca="1">IF(V24="","",RANK(V24,INDIRECT("V"&amp;VLOOKUP($A24,$BA$1:$BC$3,2,FALSE)&amp;":V"&amp;VLOOKUP($A24,$BA$1:$BC$3,3,FALSE)),1))</f>
        <v>18</v>
      </c>
      <c r="X24" s="6">
        <f>IF(U24="","",RANK(V24,V$4:V$100,1))</f>
        <v>22</v>
      </c>
      <c r="Y24" s="4">
        <f ca="1">IF(ISNA(VLOOKUP($B24,INDIRECT("'"&amp;Y$2&amp;"'!$B$3:$E$72"),4,FALSE)),"",VLOOKUP($B24,INDIRECT("'"&amp;Y$2&amp;"'!$B$3:$E$72"),4,FALSE))</f>
        <v>22</v>
      </c>
      <c r="Z24" s="5">
        <f>IF(Y24="","",Y24+V24)</f>
        <v>165</v>
      </c>
      <c r="AA24" s="5">
        <f ca="1">IF(Z24="","",RANK(Z24,INDIRECT("Z"&amp;VLOOKUP($A24,$BA$1:$BC$3,2,FALSE)&amp;":Z"&amp;VLOOKUP($A24,$BA$1:$BC$3,3,FALSE)),1))</f>
        <v>18</v>
      </c>
      <c r="AB24" s="6">
        <f>IF(Y24="","",RANK(Z24,Z$4:Z$100,1))</f>
        <v>21</v>
      </c>
      <c r="AC24" s="4">
        <f ca="1">IF(ISNA(VLOOKUP($B24,INDIRECT("'"&amp;AC$2&amp;"'!$B$3:$E$72"),4,FALSE)),"",VLOOKUP($B24,INDIRECT("'"&amp;AC$2&amp;"'!$B$3:$E$72"),4,FALSE))</f>
        <v>25</v>
      </c>
      <c r="AD24" s="5">
        <f>IF(AC24="","",AC24+Z24)</f>
        <v>190</v>
      </c>
      <c r="AE24" s="5">
        <f ca="1">IF(AD24="","",RANK(AD24,INDIRECT("AD"&amp;VLOOKUP($A24,$BA$1:$BC$3,2,FALSE)&amp;":AD"&amp;VLOOKUP($A24,$BA$1:$BC$3,3,FALSE)),1))</f>
        <v>18</v>
      </c>
      <c r="AF24" s="6">
        <f>IF(AC24="","",RANK(AD24,AD$4:AD$100,1))</f>
        <v>21</v>
      </c>
      <c r="AG24" s="4">
        <f ca="1">IF(ISNA(VLOOKUP($B24,INDIRECT("'"&amp;AG$2&amp;"'!$B$3:$E$72"),4,FALSE)),"",VLOOKUP($B24,INDIRECT("'"&amp;AG$2&amp;"'!$B$3:$E$72"),4,FALSE))</f>
        <v>44</v>
      </c>
      <c r="AH24" s="5">
        <f>IF(AG24="","",AG24+AD24)</f>
        <v>234</v>
      </c>
      <c r="AI24" s="5">
        <f ca="1">IF(AH24="","",RANK(AH24,INDIRECT("AH"&amp;VLOOKUP($A24,$BA$1:$BC$3,2,FALSE)&amp;":AH"&amp;VLOOKUP($A24,$BA$1:$BC$3,3,FALSE)),1))</f>
        <v>19</v>
      </c>
      <c r="AJ24" s="6">
        <f>IF(AG24="","",RANK(AH24,AH$4:AH$100,1))</f>
        <v>24</v>
      </c>
      <c r="AK24" s="4">
        <f ca="1">IF(ISNA(VLOOKUP($B24,INDIRECT("'"&amp;AK$2&amp;"'!$B$3:$E$72"),4,FALSE)),"",VLOOKUP($B24,INDIRECT("'"&amp;AK$2&amp;"'!$B$3:$E$72"),4,FALSE))</f>
        <v>41</v>
      </c>
      <c r="AL24" s="5">
        <f>IF(AK24="","",AK24+AH24)</f>
        <v>275</v>
      </c>
      <c r="AM24" s="5">
        <f ca="1">IF(AL24="","",RANK(AL24,INDIRECT("AL"&amp;VLOOKUP($A24,$BA$1:$BC$3,2,FALSE)&amp;":AL"&amp;VLOOKUP($A24,$BA$1:$BC$3,3,FALSE)),1))</f>
        <v>20</v>
      </c>
      <c r="AN24" s="6">
        <f>IF(AK24="","",RANK(AL24,AL$4:AL$100,1))</f>
        <v>24</v>
      </c>
      <c r="AO24" s="4">
        <f ca="1">IF(ISNA(VLOOKUP($B24,INDIRECT("'"&amp;AO$2&amp;"'!$B$3:$E$72"),4,FALSE)),"",VLOOKUP($B24,INDIRECT("'"&amp;AO$2&amp;"'!$B$3:$E$72"),4,FALSE))</f>
        <v>55</v>
      </c>
      <c r="AP24" s="5">
        <f>IF(AO24="","",AO24+AL24)</f>
        <v>330</v>
      </c>
      <c r="AQ24" s="5">
        <f ca="1">IF(AP24="","",RANK(AP24,INDIRECT("AP"&amp;VLOOKUP($A24,$BA$1:$BC$3,2,FALSE)&amp;":AP"&amp;VLOOKUP($A24,$BA$1:$BC$3,3,FALSE)),1))</f>
        <v>21</v>
      </c>
      <c r="AR24" s="6">
        <f>IF(AO24="","",RANK(AP24,AP$4:AP$100,1))</f>
        <v>30</v>
      </c>
      <c r="AS24" s="58"/>
      <c r="AT24" s="4">
        <f>SUM(G24,I24,M24,Q24,U24,Y24,AC24,AG24,AK24,AO24)</f>
        <v>330</v>
      </c>
      <c r="AU24" s="5">
        <f ca="1">RANK(AT24,INDIRECT("AT"&amp;VLOOKUP($A24,$BA$1:$BC$3,2,FALSE)&amp;":AT"&amp;VLOOKUP($A24,$BA$1:$BC$3,3,FALSE)),1)</f>
        <v>21</v>
      </c>
      <c r="AV24" s="5">
        <f>RANK(AT24,$AT$4:$AT$100,1)</f>
        <v>30</v>
      </c>
      <c r="AW24" s="4">
        <f>MIN(G24,I24,M24,Q24,U24,Y24,AC24,AG24,AK24,AO24)</f>
        <v>15</v>
      </c>
      <c r="AX24" s="5">
        <f>MAX(G24,I24,M24,Q24,U24,Y24,AC24,AG24,AK24,AO24)</f>
        <v>55</v>
      </c>
      <c r="AY24" s="6">
        <f>MEDIAN(G24,I24,M24,Q24,U24,Y24,AC24,AG24,AK24,AO24)</f>
        <v>30</v>
      </c>
    </row>
    <row r="25" spans="1:51" ht="15.75">
      <c r="A25" s="14" t="s">
        <v>3</v>
      </c>
      <c r="B25" s="41">
        <v>19</v>
      </c>
      <c r="C25" s="40" t="str">
        <f>IF(ISBLANK(B25),"",VLOOKUP(B25,Entries!$A$4:$C$65,3,FALSE))</f>
        <v>Benfleet Men C</v>
      </c>
      <c r="D25" s="4">
        <f>IF(AT25=0,"",AT25)</f>
        <v>341</v>
      </c>
      <c r="E25" s="5">
        <f ca="1">IF(OR(ISBLANK(D25),D25=0,D25=""),"",RANK(D25,INDIRECT("D"&amp;VLOOKUP($A25,$BA$1:$BC$3,2,FALSE)&amp;":D"&amp;VLOOKUP($A25,$BA$1:$BC$3,3,FALSE)),1))</f>
        <v>22</v>
      </c>
      <c r="F25" s="5">
        <f>IF(OR(ISBLANK(D25),D25=0,D25=""),"",RANK(D25,$D$4:$D$100,1))</f>
        <v>32</v>
      </c>
      <c r="G25" s="4">
        <f ca="1">IF(ISNA(VLOOKUP($B25,INDIRECT("'"&amp;G$2&amp;"'!$B$3:$E$72"),4,FALSE)),"",VLOOKUP($B25,INDIRECT("'"&amp;G$2&amp;"'!$B$3:$E$72"),4,FALSE))</f>
        <v>11</v>
      </c>
      <c r="H25" s="5">
        <f ca="1">IF(G25="","",RANK(G25,INDIRECT("G"&amp;VLOOKUP($A25,$BA$1:$BC$3,2,FALSE)&amp;":G"&amp;VLOOKUP($A25,$BA$1:$BC$3,3,FALSE)),1))</f>
        <v>10</v>
      </c>
      <c r="I25" s="4">
        <f ca="1">IF(ISNA(VLOOKUP($B25,INDIRECT("'"&amp;I$2&amp;"'!$B$3:$E$72"),4,FALSE)),"",VLOOKUP($B25,INDIRECT("'"&amp;I$2&amp;"'!$B$3:$E$72"),4,FALSE))</f>
        <v>20</v>
      </c>
      <c r="J25" s="5">
        <f>IF(I25="","",G25+I25)</f>
        <v>31</v>
      </c>
      <c r="K25" s="5">
        <f ca="1">IF(J25="","",RANK(J25,INDIRECT("J"&amp;VLOOKUP($A25,$BA$1:$BC$3,2,FALSE)&amp;":J"&amp;VLOOKUP($A25,$BA$1:$BC$3,3,FALSE)),1))</f>
        <v>12</v>
      </c>
      <c r="L25" s="6">
        <f>IF(I25="","",RANK(J25,J$4:J$100,1))</f>
        <v>14</v>
      </c>
      <c r="M25" s="4">
        <f ca="1">IF(ISNA(VLOOKUP($B25,INDIRECT("'"&amp;M$2&amp;"'!$B$3:$E$72"),4,FALSE)),"",VLOOKUP($B25,INDIRECT("'"&amp;M$2&amp;"'!$B$3:$E$72"),4,FALSE))</f>
        <v>33</v>
      </c>
      <c r="N25" s="5">
        <f>IF(M25="","",M25+J25)</f>
        <v>64</v>
      </c>
      <c r="O25" s="5">
        <f ca="1">IF(N25="","",RANK(N25,INDIRECT("N"&amp;VLOOKUP($A25,$BA$1:$BC$3,2,FALSE)&amp;":N"&amp;VLOOKUP($A25,$BA$1:$BC$3,3,FALSE)),1))</f>
        <v>16</v>
      </c>
      <c r="P25" s="6">
        <f>IF(M25="","",RANK(N25,N$4:N$100,1))</f>
        <v>19</v>
      </c>
      <c r="Q25" s="4">
        <f ca="1">IF(ISNA(VLOOKUP($B25,INDIRECT("'"&amp;Q$2&amp;"'!$B$3:$E$72"),4,FALSE)),"",VLOOKUP($B25,INDIRECT("'"&amp;Q$2&amp;"'!$B$3:$E$72"),4,FALSE))</f>
        <v>39</v>
      </c>
      <c r="R25" s="5">
        <f>IF(Q25="","",Q25+N25)</f>
        <v>103</v>
      </c>
      <c r="S25" s="5">
        <f ca="1">IF(R25="","",RANK(R25,INDIRECT("R"&amp;VLOOKUP($A25,$BA$1:$BC$3,2,FALSE)&amp;":R"&amp;VLOOKUP($A25,$BA$1:$BC$3,3,FALSE)),1))</f>
        <v>17</v>
      </c>
      <c r="T25" s="6">
        <f>IF(Q25="","",RANK(R25,R$4:R$100,1))</f>
        <v>20</v>
      </c>
      <c r="U25" s="4">
        <f ca="1">IF(ISNA(VLOOKUP($B25,INDIRECT("'"&amp;U$2&amp;"'!$B$3:$E$72"),4,FALSE)),"",VLOOKUP($B25,INDIRECT("'"&amp;U$2&amp;"'!$B$3:$E$72"),4,FALSE))</f>
        <v>43</v>
      </c>
      <c r="V25" s="5">
        <f>IF(U25="","",U25+R25)</f>
        <v>146</v>
      </c>
      <c r="W25" s="5">
        <f ca="1">IF(V25="","",RANK(V25,INDIRECT("V"&amp;VLOOKUP($A25,$BA$1:$BC$3,2,FALSE)&amp;":V"&amp;VLOOKUP($A25,$BA$1:$BC$3,3,FALSE)),1))</f>
        <v>20</v>
      </c>
      <c r="X25" s="6">
        <f>IF(U25="","",RANK(V25,V$4:V$100,1))</f>
        <v>24</v>
      </c>
      <c r="Y25" s="4">
        <f ca="1">IF(ISNA(VLOOKUP($B25,INDIRECT("'"&amp;Y$2&amp;"'!$B$3:$E$72"),4,FALSE)),"",VLOOKUP($B25,INDIRECT("'"&amp;Y$2&amp;"'!$B$3:$E$72"),4,FALSE))</f>
        <v>33</v>
      </c>
      <c r="Z25" s="5">
        <f>IF(Y25="","",Y25+V25)</f>
        <v>179</v>
      </c>
      <c r="AA25" s="5">
        <f ca="1">IF(Z25="","",RANK(Z25,INDIRECT("Z"&amp;VLOOKUP($A25,$BA$1:$BC$3,2,FALSE)&amp;":Z"&amp;VLOOKUP($A25,$BA$1:$BC$3,3,FALSE)),1))</f>
        <v>19</v>
      </c>
      <c r="AB25" s="6">
        <f>IF(Y25="","",RANK(Z25,Z$4:Z$100,1))</f>
        <v>24</v>
      </c>
      <c r="AC25" s="4">
        <f ca="1">IF(ISNA(VLOOKUP($B25,INDIRECT("'"&amp;AC$2&amp;"'!$B$3:$E$72"),4,FALSE)),"",VLOOKUP($B25,INDIRECT("'"&amp;AC$2&amp;"'!$B$3:$E$72"),4,FALSE))</f>
        <v>23</v>
      </c>
      <c r="AD25" s="5">
        <f>IF(AC25="","",AC25+Z25)</f>
        <v>202</v>
      </c>
      <c r="AE25" s="5">
        <f ca="1">IF(AD25="","",RANK(AD25,INDIRECT("AD"&amp;VLOOKUP($A25,$BA$1:$BC$3,2,FALSE)&amp;":AD"&amp;VLOOKUP($A25,$BA$1:$BC$3,3,FALSE)),1))</f>
        <v>19</v>
      </c>
      <c r="AF25" s="6">
        <f>IF(AC25="","",RANK(AD25,AD$4:AD$100,1))</f>
        <v>24</v>
      </c>
      <c r="AG25" s="4">
        <f ca="1">IF(ISNA(VLOOKUP($B25,INDIRECT("'"&amp;AG$2&amp;"'!$B$3:$E$72"),4,FALSE)),"",VLOOKUP($B25,INDIRECT("'"&amp;AG$2&amp;"'!$B$3:$E$72"),4,FALSE))</f>
        <v>41</v>
      </c>
      <c r="AH25" s="5">
        <f>IF(AG25="","",AG25+AD25)</f>
        <v>243</v>
      </c>
      <c r="AI25" s="5">
        <f ca="1">IF(AH25="","",RANK(AH25,INDIRECT("AH"&amp;VLOOKUP($A25,$BA$1:$BC$3,2,FALSE)&amp;":AH"&amp;VLOOKUP($A25,$BA$1:$BC$3,3,FALSE)),1))</f>
        <v>21</v>
      </c>
      <c r="AJ25" s="6">
        <f>IF(AG25="","",RANK(AH25,AH$4:AH$100,1))</f>
        <v>26</v>
      </c>
      <c r="AK25" s="4">
        <f ca="1">IF(ISNA(VLOOKUP($B25,INDIRECT("'"&amp;AK$2&amp;"'!$B$3:$E$72"),4,FALSE)),"",VLOOKUP($B25,INDIRECT("'"&amp;AK$2&amp;"'!$B$3:$E$72"),4,FALSE))</f>
        <v>39</v>
      </c>
      <c r="AL25" s="5">
        <f>IF(AK25="","",AK25+AH25)</f>
        <v>282</v>
      </c>
      <c r="AM25" s="5">
        <f ca="1">IF(AL25="","",RANK(AL25,INDIRECT("AL"&amp;VLOOKUP($A25,$BA$1:$BC$3,2,FALSE)&amp;":AL"&amp;VLOOKUP($A25,$BA$1:$BC$3,3,FALSE)),1))</f>
        <v>21</v>
      </c>
      <c r="AN25" s="6">
        <f>IF(AK25="","",RANK(AL25,AL$4:AL$100,1))</f>
        <v>29</v>
      </c>
      <c r="AO25" s="4">
        <f ca="1">IF(ISNA(VLOOKUP($B25,INDIRECT("'"&amp;AO$2&amp;"'!$B$3:$E$72"),4,FALSE)),"",VLOOKUP($B25,INDIRECT("'"&amp;AO$2&amp;"'!$B$3:$E$72"),4,FALSE))</f>
        <v>59</v>
      </c>
      <c r="AP25" s="5">
        <f>IF(AO25="","",AO25+AL25)</f>
        <v>341</v>
      </c>
      <c r="AQ25" s="5">
        <f ca="1">IF(AP25="","",RANK(AP25,INDIRECT("AP"&amp;VLOOKUP($A25,$BA$1:$BC$3,2,FALSE)&amp;":AP"&amp;VLOOKUP($A25,$BA$1:$BC$3,3,FALSE)),1))</f>
        <v>22</v>
      </c>
      <c r="AR25" s="6">
        <f>IF(AO25="","",RANK(AP25,AP$4:AP$100,1))</f>
        <v>32</v>
      </c>
      <c r="AT25" s="4">
        <f>SUM(G25,I25,M25,Q25,U25,Y25,AC25,AG25,AK25,AO25)</f>
        <v>341</v>
      </c>
      <c r="AU25" s="5">
        <f ca="1">RANK(AT25,INDIRECT("AT"&amp;VLOOKUP($A25,$BA$1:$BC$3,2,FALSE)&amp;":AT"&amp;VLOOKUP($A25,$BA$1:$BC$3,3,FALSE)),1)</f>
        <v>22</v>
      </c>
      <c r="AV25" s="5">
        <f>RANK(AT25,$AT$4:$AT$100,1)</f>
        <v>32</v>
      </c>
      <c r="AW25" s="4">
        <f>MIN(G25,I25,M25,Q25,U25,Y25,AC25,AG25,AK25,AO25)</f>
        <v>11</v>
      </c>
      <c r="AX25" s="5">
        <f>MAX(G25,I25,M25,Q25,U25,Y25,AC25,AG25,AK25,AO25)</f>
        <v>59</v>
      </c>
      <c r="AY25" s="6">
        <f>MEDIAN(G25,I25,M25,Q25,U25,Y25,AC25,AG25,AK25,AO25)</f>
        <v>36</v>
      </c>
    </row>
    <row r="26" spans="1:51" ht="15.75">
      <c r="A26" s="14" t="s">
        <v>3</v>
      </c>
      <c r="B26" s="41">
        <v>8</v>
      </c>
      <c r="C26" s="40" t="str">
        <f>IF(ISBLANK(B26),"",VLOOKUP(B26,Entries!$A$4:$C$65,3,FALSE))</f>
        <v>East Essex Tri Men</v>
      </c>
      <c r="D26" s="4">
        <f>IF(AT26=0,"",AT26)</f>
        <v>350</v>
      </c>
      <c r="E26" s="5">
        <f ca="1">IF(OR(ISBLANK(D26),D26=0,D26=""),"",RANK(D26,INDIRECT("D"&amp;VLOOKUP($A26,$BA$1:$BC$3,2,FALSE)&amp;":D"&amp;VLOOKUP($A26,$BA$1:$BC$3,3,FALSE)),1))</f>
        <v>23</v>
      </c>
      <c r="F26" s="5">
        <f>IF(OR(ISBLANK(D26),D26=0,D26=""),"",RANK(D26,$D$4:$D$100,1))</f>
        <v>35</v>
      </c>
      <c r="G26" s="4">
        <f ca="1">IF(ISNA(VLOOKUP($B26,INDIRECT("'"&amp;G$2&amp;"'!$B$3:$E$72"),4,FALSE)),"",VLOOKUP($B26,INDIRECT("'"&amp;G$2&amp;"'!$B$3:$E$72"),4,FALSE))</f>
        <v>100</v>
      </c>
      <c r="H26" s="5">
        <f ca="1">IF(G26="","",RANK(G26,INDIRECT("G"&amp;VLOOKUP($A26,$BA$1:$BC$3,2,FALSE)&amp;":G"&amp;VLOOKUP($A26,$BA$1:$BC$3,3,FALSE)),1))</f>
        <v>39</v>
      </c>
      <c r="I26" s="4">
        <f ca="1">IF(ISNA(VLOOKUP($B26,INDIRECT("'"&amp;I$2&amp;"'!$B$3:$E$72"),4,FALSE)),"",VLOOKUP($B26,INDIRECT("'"&amp;I$2&amp;"'!$B$3:$E$72"),4,FALSE))</f>
        <v>28</v>
      </c>
      <c r="J26" s="5">
        <f>IF(I26="","",G26+I26)</f>
        <v>128</v>
      </c>
      <c r="K26" s="5">
        <f ca="1">IF(J26="","",RANK(J26,INDIRECT("J"&amp;VLOOKUP($A26,$BA$1:$BC$3,2,FALSE)&amp;":J"&amp;VLOOKUP($A26,$BA$1:$BC$3,3,FALSE)),1))</f>
        <v>39</v>
      </c>
      <c r="L26" s="6">
        <f>IF(I26="","",RANK(J26,J$4:J$100,1))</f>
        <v>58</v>
      </c>
      <c r="M26" s="4">
        <f ca="1">IF(ISNA(VLOOKUP($B26,INDIRECT("'"&amp;M$2&amp;"'!$B$3:$E$72"),4,FALSE)),"",VLOOKUP($B26,INDIRECT("'"&amp;M$2&amp;"'!$B$3:$E$72"),4,FALSE))</f>
        <v>10</v>
      </c>
      <c r="N26" s="5">
        <f>IF(M26="","",M26+J26)</f>
        <v>138</v>
      </c>
      <c r="O26" s="5">
        <f ca="1">IF(N26="","",RANK(N26,INDIRECT("N"&amp;VLOOKUP($A26,$BA$1:$BC$3,2,FALSE)&amp;":N"&amp;VLOOKUP($A26,$BA$1:$BC$3,3,FALSE)),1))</f>
        <v>32</v>
      </c>
      <c r="P26" s="6">
        <f>IF(M26="","",RANK(N26,N$4:N$100,1))</f>
        <v>47</v>
      </c>
      <c r="Q26" s="4">
        <f ca="1">IF(ISNA(VLOOKUP($B26,INDIRECT("'"&amp;Q$2&amp;"'!$B$3:$E$72"),4,FALSE)),"",VLOOKUP($B26,INDIRECT("'"&amp;Q$2&amp;"'!$B$3:$E$72"),4,FALSE))</f>
        <v>37</v>
      </c>
      <c r="R26" s="5">
        <f>IF(Q26="","",Q26+N26)</f>
        <v>175</v>
      </c>
      <c r="S26" s="5">
        <f ca="1">IF(R26="","",RANK(R26,INDIRECT("R"&amp;VLOOKUP($A26,$BA$1:$BC$3,2,FALSE)&amp;":R"&amp;VLOOKUP($A26,$BA$1:$BC$3,3,FALSE)),1))</f>
        <v>29</v>
      </c>
      <c r="T26" s="6">
        <f>IF(Q26="","",RANK(R26,R$4:R$100,1))</f>
        <v>43</v>
      </c>
      <c r="U26" s="4">
        <f ca="1">IF(ISNA(VLOOKUP($B26,INDIRECT("'"&amp;U$2&amp;"'!$B$3:$E$72"),4,FALSE)),"",VLOOKUP($B26,INDIRECT("'"&amp;U$2&amp;"'!$B$3:$E$72"),4,FALSE))</f>
        <v>14</v>
      </c>
      <c r="V26" s="5">
        <f>IF(U26="","",U26+R26)</f>
        <v>189</v>
      </c>
      <c r="W26" s="5">
        <f ca="1">IF(V26="","",RANK(V26,INDIRECT("V"&amp;VLOOKUP($A26,$BA$1:$BC$3,2,FALSE)&amp;":V"&amp;VLOOKUP($A26,$BA$1:$BC$3,3,FALSE)),1))</f>
        <v>27</v>
      </c>
      <c r="X26" s="6">
        <f>IF(U26="","",RANK(V26,V$4:V$100,1))</f>
        <v>39</v>
      </c>
      <c r="Y26" s="4">
        <f ca="1">IF(ISNA(VLOOKUP($B26,INDIRECT("'"&amp;Y$2&amp;"'!$B$3:$E$72"),4,FALSE)),"",VLOOKUP($B26,INDIRECT("'"&amp;Y$2&amp;"'!$B$3:$E$72"),4,FALSE))</f>
        <v>42</v>
      </c>
      <c r="Z26" s="5">
        <f>IF(Y26="","",Y26+V26)</f>
        <v>231</v>
      </c>
      <c r="AA26" s="5">
        <f ca="1">IF(Z26="","",RANK(Z26,INDIRECT("Z"&amp;VLOOKUP($A26,$BA$1:$BC$3,2,FALSE)&amp;":Z"&amp;VLOOKUP($A26,$BA$1:$BC$3,3,FALSE)),1))</f>
        <v>28</v>
      </c>
      <c r="AB26" s="6">
        <f>IF(Y26="","",RANK(Z26,Z$4:Z$100,1))</f>
        <v>42</v>
      </c>
      <c r="AC26" s="4">
        <f ca="1">IF(ISNA(VLOOKUP($B26,INDIRECT("'"&amp;AC$2&amp;"'!$B$3:$E$72"),4,FALSE)),"",VLOOKUP($B26,INDIRECT("'"&amp;AC$2&amp;"'!$B$3:$E$72"),4,FALSE))</f>
        <v>48</v>
      </c>
      <c r="AD26" s="5">
        <f>IF(AC26="","",AC26+Z26)</f>
        <v>279</v>
      </c>
      <c r="AE26" s="5">
        <f ca="1">IF(AD26="","",RANK(AD26,INDIRECT("AD"&amp;VLOOKUP($A26,$BA$1:$BC$3,2,FALSE)&amp;":AD"&amp;VLOOKUP($A26,$BA$1:$BC$3,3,FALSE)),1))</f>
        <v>29</v>
      </c>
      <c r="AF26" s="6">
        <f>IF(AC26="","",RANK(AD26,AD$4:AD$100,1))</f>
        <v>43</v>
      </c>
      <c r="AG26" s="4">
        <f ca="1">IF(ISNA(VLOOKUP($B26,INDIRECT("'"&amp;AG$2&amp;"'!$B$3:$E$72"),4,FALSE)),"",VLOOKUP($B26,INDIRECT("'"&amp;AG$2&amp;"'!$B$3:$E$72"),4,FALSE))</f>
        <v>16</v>
      </c>
      <c r="AH26" s="5">
        <f>IF(AG26="","",AG26+AD26)</f>
        <v>295</v>
      </c>
      <c r="AI26" s="5">
        <f ca="1">IF(AH26="","",RANK(AH26,INDIRECT("AH"&amp;VLOOKUP($A26,$BA$1:$BC$3,2,FALSE)&amp;":AH"&amp;VLOOKUP($A26,$BA$1:$BC$3,3,FALSE)),1))</f>
        <v>28</v>
      </c>
      <c r="AJ26" s="6">
        <f>IF(AG26="","",RANK(AH26,AH$4:AH$100,1))</f>
        <v>39</v>
      </c>
      <c r="AK26" s="4">
        <f ca="1">IF(ISNA(VLOOKUP($B26,INDIRECT("'"&amp;AK$2&amp;"'!$B$3:$E$72"),4,FALSE)),"",VLOOKUP($B26,INDIRECT("'"&amp;AK$2&amp;"'!$B$3:$E$72"),4,FALSE))</f>
        <v>24</v>
      </c>
      <c r="AL26" s="5">
        <f>IF(AK26="","",AK26+AH26)</f>
        <v>319</v>
      </c>
      <c r="AM26" s="5">
        <f ca="1">IF(AL26="","",RANK(AL26,INDIRECT("AL"&amp;VLOOKUP($A26,$BA$1:$BC$3,2,FALSE)&amp;":AL"&amp;VLOOKUP($A26,$BA$1:$BC$3,3,FALSE)),1))</f>
        <v>23</v>
      </c>
      <c r="AN26" s="6">
        <f>IF(AK26="","",RANK(AL26,AL$4:AL$100,1))</f>
        <v>33</v>
      </c>
      <c r="AO26" s="4">
        <f ca="1">IF(ISNA(VLOOKUP($B26,INDIRECT("'"&amp;AO$2&amp;"'!$B$3:$E$72"),4,FALSE)),"",VLOOKUP($B26,INDIRECT("'"&amp;AO$2&amp;"'!$B$3:$E$72"),4,FALSE))</f>
        <v>31</v>
      </c>
      <c r="AP26" s="5">
        <f>IF(AO26="","",AO26+AL26)</f>
        <v>350</v>
      </c>
      <c r="AQ26" s="5">
        <f ca="1">IF(AP26="","",RANK(AP26,INDIRECT("AP"&amp;VLOOKUP($A26,$BA$1:$BC$3,2,FALSE)&amp;":AP"&amp;VLOOKUP($A26,$BA$1:$BC$3,3,FALSE)),1))</f>
        <v>23</v>
      </c>
      <c r="AR26" s="6">
        <f>IF(AO26="","",RANK(AP26,AP$4:AP$100,1))</f>
        <v>35</v>
      </c>
      <c r="AT26" s="4">
        <f>SUM(G26,I26,M26,Q26,U26,Y26,AC26,AG26,AK26,AO26)</f>
        <v>350</v>
      </c>
      <c r="AU26" s="5">
        <f ca="1">RANK(AT26,INDIRECT("AT"&amp;VLOOKUP($A26,$BA$1:$BC$3,2,FALSE)&amp;":AT"&amp;VLOOKUP($A26,$BA$1:$BC$3,3,FALSE)),1)</f>
        <v>23</v>
      </c>
      <c r="AV26" s="5">
        <f>RANK(AT26,$AT$4:$AT$100,1)</f>
        <v>35</v>
      </c>
      <c r="AW26" s="4">
        <f>MIN(G26,I26,M26,Q26,U26,Y26,AC26,AG26,AK26,AO26)</f>
        <v>10</v>
      </c>
      <c r="AX26" s="5">
        <f>MAX(G26,I26,M26,Q26,U26,Y26,AC26,AG26,AK26,AO26)</f>
        <v>100</v>
      </c>
      <c r="AY26" s="6">
        <f>MEDIAN(G26,I26,M26,Q26,U26,Y26,AC26,AG26,AK26,AO26)</f>
        <v>29.5</v>
      </c>
    </row>
    <row r="27" spans="1:51" ht="15.75">
      <c r="A27" s="14" t="s">
        <v>3</v>
      </c>
      <c r="B27" s="41">
        <v>14</v>
      </c>
      <c r="C27" s="40" t="str">
        <f>IF(ISBLANK(B27),"",VLOOKUP(B27,Entries!$A$4:$C$65,3,FALSE))</f>
        <v>Mid Essex Casuals C</v>
      </c>
      <c r="D27" s="4">
        <f>IF(AT27=0,"",AT27)</f>
        <v>367</v>
      </c>
      <c r="E27" s="5">
        <f ca="1">IF(OR(ISBLANK(D27),D27=0,D27=""),"",RANK(D27,INDIRECT("D"&amp;VLOOKUP($A27,$BA$1:$BC$3,2,FALSE)&amp;":D"&amp;VLOOKUP($A27,$BA$1:$BC$3,3,FALSE)),1))</f>
        <v>24</v>
      </c>
      <c r="F27" s="5">
        <f>IF(OR(ISBLANK(D27),D27=0,D27=""),"",RANK(D27,$D$4:$D$100,1))</f>
        <v>36</v>
      </c>
      <c r="G27" s="4">
        <f ca="1">IF(ISNA(VLOOKUP($B27,INDIRECT("'"&amp;G$2&amp;"'!$B$3:$E$72"),4,FALSE)),"",VLOOKUP($B27,INDIRECT("'"&amp;G$2&amp;"'!$B$3:$E$72"),4,FALSE))</f>
        <v>35</v>
      </c>
      <c r="H27" s="5">
        <f ca="1">IF(G27="","",RANK(G27,INDIRECT("G"&amp;VLOOKUP($A27,$BA$1:$BC$3,2,FALSE)&amp;":G"&amp;VLOOKUP($A27,$BA$1:$BC$3,3,FALSE)),1))</f>
        <v>26</v>
      </c>
      <c r="I27" s="4">
        <f ca="1">IF(ISNA(VLOOKUP($B27,INDIRECT("'"&amp;I$2&amp;"'!$B$3:$E$72"),4,FALSE)),"",VLOOKUP($B27,INDIRECT("'"&amp;I$2&amp;"'!$B$3:$E$72"),4,FALSE))</f>
        <v>10</v>
      </c>
      <c r="J27" s="5">
        <f>IF(I27="","",G27+I27)</f>
        <v>45</v>
      </c>
      <c r="K27" s="5">
        <f ca="1">IF(J27="","",RANK(J27,INDIRECT("J"&amp;VLOOKUP($A27,$BA$1:$BC$3,2,FALSE)&amp;":J"&amp;VLOOKUP($A27,$BA$1:$BC$3,3,FALSE)),1))</f>
        <v>20</v>
      </c>
      <c r="L27" s="6">
        <f>IF(I27="","",RANK(J27,J$4:J$100,1))</f>
        <v>23</v>
      </c>
      <c r="M27" s="4">
        <f ca="1">IF(ISNA(VLOOKUP($B27,INDIRECT("'"&amp;M$2&amp;"'!$B$3:$E$72"),4,FALSE)),"",VLOOKUP($B27,INDIRECT("'"&amp;M$2&amp;"'!$B$3:$E$72"),4,FALSE))</f>
        <v>54</v>
      </c>
      <c r="N27" s="5">
        <f>IF(M27="","",M27+J27)</f>
        <v>99</v>
      </c>
      <c r="O27" s="5">
        <f ca="1">IF(N27="","",RANK(N27,INDIRECT("N"&amp;VLOOKUP($A27,$BA$1:$BC$3,2,FALSE)&amp;":N"&amp;VLOOKUP($A27,$BA$1:$BC$3,3,FALSE)),1))</f>
        <v>22</v>
      </c>
      <c r="P27" s="6">
        <f>IF(M27="","",RANK(N27,N$4:N$100,1))</f>
        <v>29</v>
      </c>
      <c r="Q27" s="4">
        <f ca="1">IF(ISNA(VLOOKUP($B27,INDIRECT("'"&amp;Q$2&amp;"'!$B$3:$E$72"),4,FALSE)),"",VLOOKUP($B27,INDIRECT("'"&amp;Q$2&amp;"'!$B$3:$E$72"),4,FALSE))</f>
        <v>34</v>
      </c>
      <c r="R27" s="5">
        <f>IF(Q27="","",Q27+N27)</f>
        <v>133</v>
      </c>
      <c r="S27" s="5">
        <f ca="1">IF(R27="","",RANK(R27,INDIRECT("R"&amp;VLOOKUP($A27,$BA$1:$BC$3,2,FALSE)&amp;":R"&amp;VLOOKUP($A27,$BA$1:$BC$3,3,FALSE)),1))</f>
        <v>23</v>
      </c>
      <c r="T27" s="6">
        <f>IF(Q27="","",RANK(R27,R$4:R$100,1))</f>
        <v>30</v>
      </c>
      <c r="U27" s="4">
        <f ca="1">IF(ISNA(VLOOKUP($B27,INDIRECT("'"&amp;U$2&amp;"'!$B$3:$E$72"),4,FALSE)),"",VLOOKUP($B27,INDIRECT("'"&amp;U$2&amp;"'!$B$3:$E$72"),4,FALSE))</f>
        <v>32</v>
      </c>
      <c r="V27" s="5">
        <f>IF(U27="","",U27+R27)</f>
        <v>165</v>
      </c>
      <c r="W27" s="5">
        <f ca="1">IF(V27="","",RANK(V27,INDIRECT("V"&amp;VLOOKUP($A27,$BA$1:$BC$3,2,FALSE)&amp;":V"&amp;VLOOKUP($A27,$BA$1:$BC$3,3,FALSE)),1))</f>
        <v>21</v>
      </c>
      <c r="X27" s="6">
        <f>IF(U27="","",RANK(V27,V$4:V$100,1))</f>
        <v>29</v>
      </c>
      <c r="Y27" s="4">
        <f ca="1">IF(ISNA(VLOOKUP($B27,INDIRECT("'"&amp;Y$2&amp;"'!$B$3:$E$72"),4,FALSE)),"",VLOOKUP($B27,INDIRECT("'"&amp;Y$2&amp;"'!$B$3:$E$72"),4,FALSE))</f>
        <v>56</v>
      </c>
      <c r="Z27" s="5">
        <f>IF(Y27="","",Y27+V27)</f>
        <v>221</v>
      </c>
      <c r="AA27" s="5">
        <f ca="1">IF(Z27="","",RANK(Z27,INDIRECT("Z"&amp;VLOOKUP($A27,$BA$1:$BC$3,2,FALSE)&amp;":Z"&amp;VLOOKUP($A27,$BA$1:$BC$3,3,FALSE)),1))</f>
        <v>27</v>
      </c>
      <c r="AB27" s="6">
        <f>IF(Y27="","",RANK(Z27,Z$4:Z$100,1))</f>
        <v>38</v>
      </c>
      <c r="AC27" s="4">
        <f ca="1">IF(ISNA(VLOOKUP($B27,INDIRECT("'"&amp;AC$2&amp;"'!$B$3:$E$72"),4,FALSE)),"",VLOOKUP($B27,INDIRECT("'"&amp;AC$2&amp;"'!$B$3:$E$72"),4,FALSE))</f>
        <v>40</v>
      </c>
      <c r="AD27" s="5">
        <f>IF(AC27="","",AC27+Z27)</f>
        <v>261</v>
      </c>
      <c r="AE27" s="5">
        <f ca="1">IF(AD27="","",RANK(AD27,INDIRECT("AD"&amp;VLOOKUP($A27,$BA$1:$BC$3,2,FALSE)&amp;":AD"&amp;VLOOKUP($A27,$BA$1:$BC$3,3,FALSE)),1))</f>
        <v>26</v>
      </c>
      <c r="AF27" s="6">
        <f>IF(AC27="","",RANK(AD27,AD$4:AD$100,1))</f>
        <v>38</v>
      </c>
      <c r="AG27" s="4">
        <f ca="1">IF(ISNA(VLOOKUP($B27,INDIRECT("'"&amp;AG$2&amp;"'!$B$3:$E$72"),4,FALSE)),"",VLOOKUP($B27,INDIRECT("'"&amp;AG$2&amp;"'!$B$3:$E$72"),4,FALSE))</f>
        <v>24</v>
      </c>
      <c r="AH27" s="5">
        <f>IF(AG27="","",AG27+AD27)</f>
        <v>285</v>
      </c>
      <c r="AI27" s="5">
        <f ca="1">IF(AH27="","",RANK(AH27,INDIRECT("AH"&amp;VLOOKUP($A27,$BA$1:$BC$3,2,FALSE)&amp;":AH"&amp;VLOOKUP($A27,$BA$1:$BC$3,3,FALSE)),1))</f>
        <v>25</v>
      </c>
      <c r="AJ27" s="6">
        <f>IF(AG27="","",RANK(AH27,AH$4:AH$100,1))</f>
        <v>36</v>
      </c>
      <c r="AK27" s="4">
        <f ca="1">IF(ISNA(VLOOKUP($B27,INDIRECT("'"&amp;AK$2&amp;"'!$B$3:$E$72"),4,FALSE)),"",VLOOKUP($B27,INDIRECT("'"&amp;AK$2&amp;"'!$B$3:$E$72"),4,FALSE))</f>
        <v>38</v>
      </c>
      <c r="AL27" s="5">
        <f>IF(AK27="","",AK27+AH27)</f>
        <v>323</v>
      </c>
      <c r="AM27" s="5">
        <f ca="1">IF(AL27="","",RANK(AL27,INDIRECT("AL"&amp;VLOOKUP($A27,$BA$1:$BC$3,2,FALSE)&amp;":AL"&amp;VLOOKUP($A27,$BA$1:$BC$3,3,FALSE)),1))</f>
        <v>24</v>
      </c>
      <c r="AN27" s="6">
        <f>IF(AK27="","",RANK(AL27,AL$4:AL$100,1))</f>
        <v>35</v>
      </c>
      <c r="AO27" s="4">
        <f ca="1">IF(ISNA(VLOOKUP($B27,INDIRECT("'"&amp;AO$2&amp;"'!$B$3:$E$72"),4,FALSE)),"",VLOOKUP($B27,INDIRECT("'"&amp;AO$2&amp;"'!$B$3:$E$72"),4,FALSE))</f>
        <v>44</v>
      </c>
      <c r="AP27" s="5">
        <f>IF(AO27="","",AO27+AL27)</f>
        <v>367</v>
      </c>
      <c r="AQ27" s="5">
        <f ca="1">IF(AP27="","",RANK(AP27,INDIRECT("AP"&amp;VLOOKUP($A27,$BA$1:$BC$3,2,FALSE)&amp;":AP"&amp;VLOOKUP($A27,$BA$1:$BC$3,3,FALSE)),1))</f>
        <v>24</v>
      </c>
      <c r="AR27" s="6">
        <f>IF(AO27="","",RANK(AP27,AP$4:AP$100,1))</f>
        <v>36</v>
      </c>
      <c r="AT27" s="4">
        <f>SUM(G27,I27,M27,Q27,U27,Y27,AC27,AG27,AK27,AO27)</f>
        <v>367</v>
      </c>
      <c r="AU27" s="5">
        <f ca="1">RANK(AT27,INDIRECT("AT"&amp;VLOOKUP($A27,$BA$1:$BC$3,2,FALSE)&amp;":AT"&amp;VLOOKUP($A27,$BA$1:$BC$3,3,FALSE)),1)</f>
        <v>24</v>
      </c>
      <c r="AV27" s="5">
        <f>RANK(AT27,$AT$4:$AT$100,1)</f>
        <v>36</v>
      </c>
      <c r="AW27" s="4">
        <f>MIN(G27,I27,M27,Q27,U27,Y27,AC27,AG27,AK27,AO27)</f>
        <v>10</v>
      </c>
      <c r="AX27" s="5">
        <f>MAX(G27,I27,M27,Q27,U27,Y27,AC27,AG27,AK27,AO27)</f>
        <v>56</v>
      </c>
      <c r="AY27" s="6">
        <f>MEDIAN(G27,I27,M27,Q27,U27,Y27,AC27,AG27,AK27,AO27)</f>
        <v>36.5</v>
      </c>
    </row>
    <row r="28" spans="1:51" ht="15.75">
      <c r="A28" s="14" t="s">
        <v>3</v>
      </c>
      <c r="B28" s="14">
        <v>27</v>
      </c>
      <c r="C28" s="40" t="str">
        <f>IF(ISBLANK(B28),"",VLOOKUP(B28,Entries!$A$4:$C$65,3,FALSE))</f>
        <v>Harwich Runners Mixed</v>
      </c>
      <c r="D28" s="4">
        <f>IF(AT28=0,"",AT28)</f>
        <v>375</v>
      </c>
      <c r="E28" s="5">
        <f ca="1">IF(OR(ISBLANK(D28),D28=0,D28=""),"",RANK(D28,INDIRECT("D"&amp;VLOOKUP($A28,$BA$1:$BC$3,2,FALSE)&amp;":D"&amp;VLOOKUP($A28,$BA$1:$BC$3,3,FALSE)),1))</f>
        <v>25</v>
      </c>
      <c r="F28" s="5">
        <f>IF(OR(ISBLANK(D28),D28=0,D28=""),"",RANK(D28,$D$4:$D$100,1))</f>
        <v>38</v>
      </c>
      <c r="G28" s="4">
        <f ca="1">IF(ISNA(VLOOKUP($B28,INDIRECT("'"&amp;G$2&amp;"'!$B$3:$E$72"),4,FALSE)),"",VLOOKUP($B28,INDIRECT("'"&amp;G$2&amp;"'!$B$3:$E$72"),4,FALSE))</f>
        <v>54</v>
      </c>
      <c r="H28" s="5">
        <f ca="1">IF(G28="","",RANK(G28,INDIRECT("G"&amp;VLOOKUP($A28,$BA$1:$BC$3,2,FALSE)&amp;":G"&amp;VLOOKUP($A28,$BA$1:$BC$3,3,FALSE)),1))</f>
        <v>35</v>
      </c>
      <c r="I28" s="4">
        <f ca="1">IF(ISNA(VLOOKUP($B28,INDIRECT("'"&amp;I$2&amp;"'!$B$3:$E$72"),4,FALSE)),"",VLOOKUP($B28,INDIRECT("'"&amp;I$2&amp;"'!$B$3:$E$72"),4,FALSE))</f>
        <v>50</v>
      </c>
      <c r="J28" s="5">
        <f>IF(I28="","",G28+I28)</f>
        <v>104</v>
      </c>
      <c r="K28" s="5">
        <f ca="1">IF(J28="","",RANK(J28,INDIRECT("J"&amp;VLOOKUP($A28,$BA$1:$BC$3,2,FALSE)&amp;":J"&amp;VLOOKUP($A28,$BA$1:$BC$3,3,FALSE)),1))</f>
        <v>36</v>
      </c>
      <c r="L28" s="6">
        <f>IF(I28="","",RANK(J28,J$4:J$100,1))</f>
        <v>54</v>
      </c>
      <c r="M28" s="4">
        <f ca="1">IF(ISNA(VLOOKUP($B28,INDIRECT("'"&amp;M$2&amp;"'!$B$3:$E$72"),4,FALSE)),"",VLOOKUP($B28,INDIRECT("'"&amp;M$2&amp;"'!$B$3:$E$72"),4,FALSE))</f>
        <v>40</v>
      </c>
      <c r="N28" s="5">
        <f>IF(M28="","",M28+J28)</f>
        <v>144</v>
      </c>
      <c r="O28" s="5">
        <f ca="1">IF(N28="","",RANK(N28,INDIRECT("N"&amp;VLOOKUP($A28,$BA$1:$BC$3,2,FALSE)&amp;":N"&amp;VLOOKUP($A28,$BA$1:$BC$3,3,FALSE)),1))</f>
        <v>34</v>
      </c>
      <c r="P28" s="6">
        <f>IF(M28="","",RANK(N28,N$4:N$100,1))</f>
        <v>51</v>
      </c>
      <c r="Q28" s="4">
        <f ca="1">IF(ISNA(VLOOKUP($B28,INDIRECT("'"&amp;Q$2&amp;"'!$B$3:$E$72"),4,FALSE)),"",VLOOKUP($B28,INDIRECT("'"&amp;Q$2&amp;"'!$B$3:$E$72"),4,FALSE))</f>
        <v>44</v>
      </c>
      <c r="R28" s="5">
        <f>IF(Q28="","",Q28+N28)</f>
        <v>188</v>
      </c>
      <c r="S28" s="5">
        <f ca="1">IF(R28="","",RANK(R28,INDIRECT("R"&amp;VLOOKUP($A28,$BA$1:$BC$3,2,FALSE)&amp;":R"&amp;VLOOKUP($A28,$BA$1:$BC$3,3,FALSE)),1))</f>
        <v>34</v>
      </c>
      <c r="T28" s="6">
        <f>IF(Q28="","",RANK(R28,R$4:R$100,1))</f>
        <v>50</v>
      </c>
      <c r="U28" s="4">
        <f ca="1">IF(ISNA(VLOOKUP($B28,INDIRECT("'"&amp;U$2&amp;"'!$B$3:$E$72"),4,FALSE)),"",VLOOKUP($B28,INDIRECT("'"&amp;U$2&amp;"'!$B$3:$E$72"),4,FALSE))</f>
        <v>42</v>
      </c>
      <c r="V28" s="5">
        <f>IF(U28="","",U28+R28)</f>
        <v>230</v>
      </c>
      <c r="W28" s="5">
        <f ca="1">IF(V28="","",RANK(V28,INDIRECT("V"&amp;VLOOKUP($A28,$BA$1:$BC$3,2,FALSE)&amp;":V"&amp;VLOOKUP($A28,$BA$1:$BC$3,3,FALSE)),1))</f>
        <v>32</v>
      </c>
      <c r="X28" s="6">
        <f>IF(U28="","",RANK(V28,V$4:V$100,1))</f>
        <v>49</v>
      </c>
      <c r="Y28" s="4">
        <f ca="1">IF(ISNA(VLOOKUP($B28,INDIRECT("'"&amp;Y$2&amp;"'!$B$3:$E$72"),4,FALSE)),"",VLOOKUP($B28,INDIRECT("'"&amp;Y$2&amp;"'!$B$3:$E$72"),4,FALSE))</f>
        <v>51</v>
      </c>
      <c r="Z28" s="5">
        <f>IF(Y28="","",Y28+V28)</f>
        <v>281</v>
      </c>
      <c r="AA28" s="5">
        <f ca="1">IF(Z28="","",RANK(Z28,INDIRECT("Z"&amp;VLOOKUP($A28,$BA$1:$BC$3,2,FALSE)&amp;":Z"&amp;VLOOKUP($A28,$BA$1:$BC$3,3,FALSE)),1))</f>
        <v>33</v>
      </c>
      <c r="AB28" s="6">
        <f>IF(Y28="","",RANK(Z28,Z$4:Z$100,1))</f>
        <v>50</v>
      </c>
      <c r="AC28" s="4">
        <f ca="1">IF(ISNA(VLOOKUP($B28,INDIRECT("'"&amp;AC$2&amp;"'!$B$3:$E$72"),4,FALSE)),"",VLOOKUP($B28,INDIRECT("'"&amp;AC$2&amp;"'!$B$3:$E$72"),4,FALSE))</f>
        <v>45</v>
      </c>
      <c r="AD28" s="5">
        <f>IF(AC28="","",AC28+Z28)</f>
        <v>326</v>
      </c>
      <c r="AE28" s="5">
        <f ca="1">IF(AD28="","",RANK(AD28,INDIRECT("AD"&amp;VLOOKUP($A28,$BA$1:$BC$3,2,FALSE)&amp;":AD"&amp;VLOOKUP($A28,$BA$1:$BC$3,3,FALSE)),1))</f>
        <v>34</v>
      </c>
      <c r="AF28" s="6">
        <f>IF(AC28="","",RANK(AD28,AD$4:AD$100,1))</f>
        <v>50</v>
      </c>
      <c r="AG28" s="4">
        <f ca="1">IF(ISNA(VLOOKUP($B28,INDIRECT("'"&amp;AG$2&amp;"'!$B$3:$E$72"),4,FALSE)),"",VLOOKUP($B28,INDIRECT("'"&amp;AG$2&amp;"'!$B$3:$E$72"),4,FALSE))</f>
        <v>21</v>
      </c>
      <c r="AH28" s="5">
        <f>IF(AG28="","",AG28+AD28)</f>
        <v>347</v>
      </c>
      <c r="AI28" s="5">
        <f ca="1">IF(AH28="","",RANK(AH28,INDIRECT("AH"&amp;VLOOKUP($A28,$BA$1:$BC$3,2,FALSE)&amp;":AH"&amp;VLOOKUP($A28,$BA$1:$BC$3,3,FALSE)),1))</f>
        <v>32</v>
      </c>
      <c r="AJ28" s="6">
        <f>IF(AG28="","",RANK(AH28,AH$4:AH$100,1))</f>
        <v>47</v>
      </c>
      <c r="AK28" s="4">
        <f ca="1">IF(ISNA(VLOOKUP($B28,INDIRECT("'"&amp;AK$2&amp;"'!$B$3:$E$72"),4,FALSE)),"",VLOOKUP($B28,INDIRECT("'"&amp;AK$2&amp;"'!$B$3:$E$72"),4,FALSE))</f>
        <v>14</v>
      </c>
      <c r="AL28" s="5">
        <f>IF(AK28="","",AK28+AH28)</f>
        <v>361</v>
      </c>
      <c r="AM28" s="5">
        <f ca="1">IF(AL28="","",RANK(AL28,INDIRECT("AL"&amp;VLOOKUP($A28,$BA$1:$BC$3,2,FALSE)&amp;":AL"&amp;VLOOKUP($A28,$BA$1:$BC$3,3,FALSE)),1))</f>
        <v>29</v>
      </c>
      <c r="AN28" s="6">
        <f>IF(AK28="","",RANK(AL28,AL$4:AL$100,1))</f>
        <v>43</v>
      </c>
      <c r="AO28" s="4">
        <f ca="1">IF(ISNA(VLOOKUP($B28,INDIRECT("'"&amp;AO$2&amp;"'!$B$3:$E$72"),4,FALSE)),"",VLOOKUP($B28,INDIRECT("'"&amp;AO$2&amp;"'!$B$3:$E$72"),4,FALSE))</f>
        <v>14</v>
      </c>
      <c r="AP28" s="5">
        <f>IF(AO28="","",AO28+AL28)</f>
        <v>375</v>
      </c>
      <c r="AQ28" s="5">
        <f ca="1">IF(AP28="","",RANK(AP28,INDIRECT("AP"&amp;VLOOKUP($A28,$BA$1:$BC$3,2,FALSE)&amp;":AP"&amp;VLOOKUP($A28,$BA$1:$BC$3,3,FALSE)),1))</f>
        <v>25</v>
      </c>
      <c r="AR28" s="6">
        <f>IF(AO28="","",RANK(AP28,AP$4:AP$100,1))</f>
        <v>38</v>
      </c>
      <c r="AT28" s="4">
        <f>SUM(G28,I28,M28,Q28,U28,Y28,AC28,AG28,AK28,AO28)</f>
        <v>375</v>
      </c>
      <c r="AU28" s="5">
        <f ca="1">RANK(AT28,INDIRECT("AT"&amp;VLOOKUP($A28,$BA$1:$BC$3,2,FALSE)&amp;":AT"&amp;VLOOKUP($A28,$BA$1:$BC$3,3,FALSE)),1)</f>
        <v>25</v>
      </c>
      <c r="AV28" s="5">
        <f>RANK(AT28,$AT$4:$AT$100,1)</f>
        <v>38</v>
      </c>
      <c r="AW28" s="4">
        <f>MIN(G28,I28,M28,Q28,U28,Y28,AC28,AG28,AK28,AO28)</f>
        <v>14</v>
      </c>
      <c r="AX28" s="5">
        <f>MAX(G28,I28,M28,Q28,U28,Y28,AC28,AG28,AK28,AO28)</f>
        <v>54</v>
      </c>
      <c r="AY28" s="6">
        <f>MEDIAN(G28,I28,M28,Q28,U28,Y28,AC28,AG28,AK28,AO28)</f>
        <v>43</v>
      </c>
    </row>
    <row r="29" spans="1:51" ht="15.75">
      <c r="A29" s="14" t="s">
        <v>3</v>
      </c>
      <c r="B29" s="14">
        <v>30</v>
      </c>
      <c r="C29" s="40" t="str">
        <f>IF(ISBLANK(B29),"",VLOOKUP(B29,Entries!$A$4:$C$65,3,FALSE))</f>
        <v>Witham Running Club</v>
      </c>
      <c r="D29" s="4">
        <f>IF(AT29=0,"",AT29)</f>
        <v>376</v>
      </c>
      <c r="E29" s="5">
        <f ca="1">IF(OR(ISBLANK(D29),D29=0,D29=""),"",RANK(D29,INDIRECT("D"&amp;VLOOKUP($A29,$BA$1:$BC$3,2,FALSE)&amp;":D"&amp;VLOOKUP($A29,$BA$1:$BC$3,3,FALSE)),1))</f>
        <v>26</v>
      </c>
      <c r="F29" s="5">
        <f>IF(OR(ISBLANK(D29),D29=0,D29=""),"",RANK(D29,$D$4:$D$100,1))</f>
        <v>39</v>
      </c>
      <c r="G29" s="4">
        <f ca="1">IF(ISNA(VLOOKUP($B29,INDIRECT("'"&amp;G$2&amp;"'!$B$3:$E$72"),4,FALSE)),"",VLOOKUP($B29,INDIRECT("'"&amp;G$2&amp;"'!$B$3:$E$72"),4,FALSE))</f>
        <v>28</v>
      </c>
      <c r="H29" s="5">
        <f ca="1">IF(G29="","",RANK(G29,INDIRECT("G"&amp;VLOOKUP($A29,$BA$1:$BC$3,2,FALSE)&amp;":G"&amp;VLOOKUP($A29,$BA$1:$BC$3,3,FALSE)),1))</f>
        <v>23</v>
      </c>
      <c r="I29" s="4">
        <f ca="1">IF(ISNA(VLOOKUP($B29,INDIRECT("'"&amp;I$2&amp;"'!$B$3:$E$72"),4,FALSE)),"",VLOOKUP($B29,INDIRECT("'"&amp;I$2&amp;"'!$B$3:$E$72"),4,FALSE))</f>
        <v>47</v>
      </c>
      <c r="J29" s="5">
        <f>IF(I29="","",G29+I29)</f>
        <v>75</v>
      </c>
      <c r="K29" s="5">
        <f ca="1">IF(J29="","",RANK(J29,INDIRECT("J"&amp;VLOOKUP($A29,$BA$1:$BC$3,2,FALSE)&amp;":J"&amp;VLOOKUP($A29,$BA$1:$BC$3,3,FALSE)),1))</f>
        <v>26</v>
      </c>
      <c r="L29" s="6">
        <f>IF(I29="","",RANK(J29,J$4:J$100,1))</f>
        <v>37</v>
      </c>
      <c r="M29" s="4">
        <f ca="1">IF(ISNA(VLOOKUP($B29,INDIRECT("'"&amp;M$2&amp;"'!$B$3:$E$72"),4,FALSE)),"",VLOOKUP($B29,INDIRECT("'"&amp;M$2&amp;"'!$B$3:$E$72"),4,FALSE))</f>
        <v>32</v>
      </c>
      <c r="N29" s="5">
        <f>IF(M29="","",M29+J29)</f>
        <v>107</v>
      </c>
      <c r="O29" s="5">
        <f ca="1">IF(N29="","",RANK(N29,INDIRECT("N"&amp;VLOOKUP($A29,$BA$1:$BC$3,2,FALSE)&amp;":N"&amp;VLOOKUP($A29,$BA$1:$BC$3,3,FALSE)),1))</f>
        <v>24</v>
      </c>
      <c r="P29" s="6">
        <f>IF(M29="","",RANK(N29,N$4:N$100,1))</f>
        <v>34</v>
      </c>
      <c r="Q29" s="4">
        <f ca="1">IF(ISNA(VLOOKUP($B29,INDIRECT("'"&amp;Q$2&amp;"'!$B$3:$E$72"),4,FALSE)),"",VLOOKUP($B29,INDIRECT("'"&amp;Q$2&amp;"'!$B$3:$E$72"),4,FALSE))</f>
        <v>100</v>
      </c>
      <c r="R29" s="5">
        <f>IF(Q29="","",Q29+N29)</f>
        <v>207</v>
      </c>
      <c r="S29" s="5">
        <f ca="1">IF(R29="","",RANK(R29,INDIRECT("R"&amp;VLOOKUP($A29,$BA$1:$BC$3,2,FALSE)&amp;":R"&amp;VLOOKUP($A29,$BA$1:$BC$3,3,FALSE)),1))</f>
        <v>35</v>
      </c>
      <c r="T29" s="6">
        <f>IF(Q29="","",RANK(R29,R$4:R$100,1))</f>
        <v>52</v>
      </c>
      <c r="U29" s="4">
        <f ca="1">IF(ISNA(VLOOKUP($B29,INDIRECT("'"&amp;U$2&amp;"'!$B$3:$E$72"),4,FALSE)),"",VLOOKUP($B29,INDIRECT("'"&amp;U$2&amp;"'!$B$3:$E$72"),4,FALSE))</f>
        <v>40</v>
      </c>
      <c r="V29" s="5">
        <f>IF(U29="","",U29+R29)</f>
        <v>247</v>
      </c>
      <c r="W29" s="5">
        <f ca="1">IF(V29="","",RANK(V29,INDIRECT("V"&amp;VLOOKUP($A29,$BA$1:$BC$3,2,FALSE)&amp;":V"&amp;VLOOKUP($A29,$BA$1:$BC$3,3,FALSE)),1))</f>
        <v>36</v>
      </c>
      <c r="X29" s="6">
        <f>IF(U29="","",RANK(V29,V$4:V$100,1))</f>
        <v>53</v>
      </c>
      <c r="Y29" s="4">
        <f ca="1">IF(ISNA(VLOOKUP($B29,INDIRECT("'"&amp;Y$2&amp;"'!$B$3:$E$72"),4,FALSE)),"",VLOOKUP($B29,INDIRECT("'"&amp;Y$2&amp;"'!$B$3:$E$72"),4,FALSE))</f>
        <v>14</v>
      </c>
      <c r="Z29" s="5">
        <f>IF(Y29="","",Y29+V29)</f>
        <v>261</v>
      </c>
      <c r="AA29" s="5">
        <f ca="1">IF(Z29="","",RANK(Z29,INDIRECT("Z"&amp;VLOOKUP($A29,$BA$1:$BC$3,2,FALSE)&amp;":Z"&amp;VLOOKUP($A29,$BA$1:$BC$3,3,FALSE)),1))</f>
        <v>31</v>
      </c>
      <c r="AB29" s="6">
        <f>IF(Y29="","",RANK(Z29,Z$4:Z$100,1))</f>
        <v>47</v>
      </c>
      <c r="AC29" s="4">
        <f ca="1">IF(ISNA(VLOOKUP($B29,INDIRECT("'"&amp;AC$2&amp;"'!$B$3:$E$72"),4,FALSE)),"",VLOOKUP($B29,INDIRECT("'"&amp;AC$2&amp;"'!$B$3:$E$72"),4,FALSE))</f>
        <v>26</v>
      </c>
      <c r="AD29" s="5">
        <f>IF(AC29="","",AC29+Z29)</f>
        <v>287</v>
      </c>
      <c r="AE29" s="5">
        <f ca="1">IF(AD29="","",RANK(AD29,INDIRECT("AD"&amp;VLOOKUP($A29,$BA$1:$BC$3,2,FALSE)&amp;":AD"&amp;VLOOKUP($A29,$BA$1:$BC$3,3,FALSE)),1))</f>
        <v>30</v>
      </c>
      <c r="AF29" s="6">
        <f>IF(AC29="","",RANK(AD29,AD$4:AD$100,1))</f>
        <v>45</v>
      </c>
      <c r="AG29" s="4">
        <f ca="1">IF(ISNA(VLOOKUP($B29,INDIRECT("'"&amp;AG$2&amp;"'!$B$3:$E$72"),4,FALSE)),"",VLOOKUP($B29,INDIRECT("'"&amp;AG$2&amp;"'!$B$3:$E$72"),4,FALSE))</f>
        <v>48</v>
      </c>
      <c r="AH29" s="5">
        <f>IF(AG29="","",AG29+AD29)</f>
        <v>335</v>
      </c>
      <c r="AI29" s="5">
        <f ca="1">IF(AH29="","",RANK(AH29,INDIRECT("AH"&amp;VLOOKUP($A29,$BA$1:$BC$3,2,FALSE)&amp;":AH"&amp;VLOOKUP($A29,$BA$1:$BC$3,3,FALSE)),1))</f>
        <v>29</v>
      </c>
      <c r="AJ29" s="6">
        <f>IF(AG29="","",RANK(AH29,AH$4:AH$100,1))</f>
        <v>44</v>
      </c>
      <c r="AK29" s="4">
        <f ca="1">IF(ISNA(VLOOKUP($B29,INDIRECT("'"&amp;AK$2&amp;"'!$B$3:$E$72"),4,FALSE)),"",VLOOKUP($B29,INDIRECT("'"&amp;AK$2&amp;"'!$B$3:$E$72"),4,FALSE))</f>
        <v>37</v>
      </c>
      <c r="AL29" s="5">
        <f>IF(AK29="","",AK29+AH29)</f>
        <v>372</v>
      </c>
      <c r="AM29" s="5">
        <f ca="1">IF(AL29="","",RANK(AL29,INDIRECT("AL"&amp;VLOOKUP($A29,$BA$1:$BC$3,2,FALSE)&amp;":AL"&amp;VLOOKUP($A29,$BA$1:$BC$3,3,FALSE)),1))</f>
        <v>30</v>
      </c>
      <c r="AN29" s="6">
        <f>IF(AK29="","",RANK(AL29,AL$4:AL$100,1))</f>
        <v>45</v>
      </c>
      <c r="AO29" s="4">
        <f ca="1">IF(ISNA(VLOOKUP($B29,INDIRECT("'"&amp;AO$2&amp;"'!$B$3:$E$72"),4,FALSE)),"",VLOOKUP($B29,INDIRECT("'"&amp;AO$2&amp;"'!$B$3:$E$72"),4,FALSE))</f>
        <v>4</v>
      </c>
      <c r="AP29" s="5">
        <f>IF(AO29="","",AO29+AL29)</f>
        <v>376</v>
      </c>
      <c r="AQ29" s="5">
        <f ca="1">IF(AP29="","",RANK(AP29,INDIRECT("AP"&amp;VLOOKUP($A29,$BA$1:$BC$3,2,FALSE)&amp;":AP"&amp;VLOOKUP($A29,$BA$1:$BC$3,3,FALSE)),1))</f>
        <v>26</v>
      </c>
      <c r="AR29" s="6">
        <f>IF(AO29="","",RANK(AP29,AP$4:AP$100,1))</f>
        <v>39</v>
      </c>
      <c r="AT29" s="4">
        <f>SUM(G29,I29,M29,Q29,U29,Y29,AC29,AG29,AK29,AO29)</f>
        <v>376</v>
      </c>
      <c r="AU29" s="5">
        <f ca="1">RANK(AT29,INDIRECT("AT"&amp;VLOOKUP($A29,$BA$1:$BC$3,2,FALSE)&amp;":AT"&amp;VLOOKUP($A29,$BA$1:$BC$3,3,FALSE)),1)</f>
        <v>26</v>
      </c>
      <c r="AV29" s="5">
        <f>RANK(AT29,$AT$4:$AT$100,1)</f>
        <v>39</v>
      </c>
      <c r="AW29" s="4">
        <f>MIN(G29,I29,M29,Q29,U29,Y29,AC29,AG29,AK29,AO29)</f>
        <v>4</v>
      </c>
      <c r="AX29" s="5">
        <f>MAX(G29,I29,M29,Q29,U29,Y29,AC29,AG29,AK29,AO29)</f>
        <v>100</v>
      </c>
      <c r="AY29" s="6">
        <f>MEDIAN(G29,I29,M29,Q29,U29,Y29,AC29,AG29,AK29,AO29)</f>
        <v>34.5</v>
      </c>
    </row>
    <row r="30" spans="1:51" ht="15.75">
      <c r="A30" s="14" t="s">
        <v>3</v>
      </c>
      <c r="B30" s="41">
        <v>2</v>
      </c>
      <c r="C30" s="40" t="str">
        <f>IF(ISBLANK(B30),"",VLOOKUP(B30,Entries!$A$4:$C$65,3,FALSE))</f>
        <v>Thurrock Nomads A</v>
      </c>
      <c r="D30" s="4">
        <f>IF(AT30=0,"",AT30)</f>
        <v>377</v>
      </c>
      <c r="E30" s="5">
        <f ca="1">IF(OR(ISBLANK(D30),D30=0,D30=""),"",RANK(D30,INDIRECT("D"&amp;VLOOKUP($A30,$BA$1:$BC$3,2,FALSE)&amp;":D"&amp;VLOOKUP($A30,$BA$1:$BC$3,3,FALSE)),1))</f>
        <v>27</v>
      </c>
      <c r="F30" s="5">
        <f>IF(OR(ISBLANK(D30),D30=0,D30=""),"",RANK(D30,$D$4:$D$100,1))</f>
        <v>40</v>
      </c>
      <c r="G30" s="4">
        <f ca="1">IF(ISNA(VLOOKUP($B30,INDIRECT("'"&amp;G$2&amp;"'!$B$3:$E$72"),4,FALSE)),"",VLOOKUP($B30,INDIRECT("'"&amp;G$2&amp;"'!$B$3:$E$72"),4,FALSE))</f>
        <v>45</v>
      </c>
      <c r="H30" s="5">
        <f ca="1">IF(G30="","",RANK(G30,INDIRECT("G"&amp;VLOOKUP($A30,$BA$1:$BC$3,2,FALSE)&amp;":G"&amp;VLOOKUP($A30,$BA$1:$BC$3,3,FALSE)),1))</f>
        <v>30</v>
      </c>
      <c r="I30" s="4">
        <f ca="1">IF(ISNA(VLOOKUP($B30,INDIRECT("'"&amp;I$2&amp;"'!$B$3:$E$72"),4,FALSE)),"",VLOOKUP($B30,INDIRECT("'"&amp;I$2&amp;"'!$B$3:$E$72"),4,FALSE))</f>
        <v>55</v>
      </c>
      <c r="J30" s="5">
        <f>IF(I30="","",G30+I30)</f>
        <v>100</v>
      </c>
      <c r="K30" s="5">
        <f ca="1">IF(J30="","",RANK(J30,INDIRECT("J"&amp;VLOOKUP($A30,$BA$1:$BC$3,2,FALSE)&amp;":J"&amp;VLOOKUP($A30,$BA$1:$BC$3,3,FALSE)),1))</f>
        <v>34</v>
      </c>
      <c r="L30" s="6">
        <f>IF(I30="","",RANK(J30,J$4:J$100,1))</f>
        <v>51</v>
      </c>
      <c r="M30" s="4">
        <f ca="1">IF(ISNA(VLOOKUP($B30,INDIRECT("'"&amp;M$2&amp;"'!$B$3:$E$72"),4,FALSE)),"",VLOOKUP($B30,INDIRECT("'"&amp;M$2&amp;"'!$B$3:$E$72"),4,FALSE))</f>
        <v>37</v>
      </c>
      <c r="N30" s="5">
        <f>IF(M30="","",M30+J30)</f>
        <v>137</v>
      </c>
      <c r="O30" s="5">
        <f ca="1">IF(N30="","",RANK(N30,INDIRECT("N"&amp;VLOOKUP($A30,$BA$1:$BC$3,2,FALSE)&amp;":N"&amp;VLOOKUP($A30,$BA$1:$BC$3,3,FALSE)),1))</f>
        <v>31</v>
      </c>
      <c r="P30" s="6">
        <f>IF(M30="","",RANK(N30,N$4:N$100,1))</f>
        <v>46</v>
      </c>
      <c r="Q30" s="4">
        <f ca="1">IF(ISNA(VLOOKUP($B30,INDIRECT("'"&amp;Q$2&amp;"'!$B$3:$E$72"),4,FALSE)),"",VLOOKUP($B30,INDIRECT("'"&amp;Q$2&amp;"'!$B$3:$E$72"),4,FALSE))</f>
        <v>21</v>
      </c>
      <c r="R30" s="5">
        <f>IF(Q30="","",Q30+N30)</f>
        <v>158</v>
      </c>
      <c r="S30" s="5">
        <f ca="1">IF(R30="","",RANK(R30,INDIRECT("R"&amp;VLOOKUP($A30,$BA$1:$BC$3,2,FALSE)&amp;":R"&amp;VLOOKUP($A30,$BA$1:$BC$3,3,FALSE)),1))</f>
        <v>26</v>
      </c>
      <c r="T30" s="6">
        <f>IF(Q30="","",RANK(R30,R$4:R$100,1))</f>
        <v>39</v>
      </c>
      <c r="U30" s="4">
        <f ca="1">IF(ISNA(VLOOKUP($B30,INDIRECT("'"&amp;U$2&amp;"'!$B$3:$E$72"),4,FALSE)),"",VLOOKUP($B30,INDIRECT("'"&amp;U$2&amp;"'!$B$3:$E$72"),4,FALSE))</f>
        <v>25</v>
      </c>
      <c r="V30" s="5">
        <f>IF(U30="","",U30+R30)</f>
        <v>183</v>
      </c>
      <c r="W30" s="5">
        <f ca="1">IF(V30="","",RANK(V30,INDIRECT("V"&amp;VLOOKUP($A30,$BA$1:$BC$3,2,FALSE)&amp;":V"&amp;VLOOKUP($A30,$BA$1:$BC$3,3,FALSE)),1))</f>
        <v>25</v>
      </c>
      <c r="X30" s="6">
        <f>IF(U30="","",RANK(V30,V$4:V$100,1))</f>
        <v>36</v>
      </c>
      <c r="Y30" s="4">
        <f ca="1">IF(ISNA(VLOOKUP($B30,INDIRECT("'"&amp;Y$2&amp;"'!$B$3:$E$72"),4,FALSE)),"",VLOOKUP($B30,INDIRECT("'"&amp;Y$2&amp;"'!$B$3:$E$72"),4,FALSE))</f>
        <v>34</v>
      </c>
      <c r="Z30" s="5">
        <f>IF(Y30="","",Y30+V30)</f>
        <v>217</v>
      </c>
      <c r="AA30" s="5">
        <f ca="1">IF(Z30="","",RANK(Z30,INDIRECT("Z"&amp;VLOOKUP($A30,$BA$1:$BC$3,2,FALSE)&amp;":Z"&amp;VLOOKUP($A30,$BA$1:$BC$3,3,FALSE)),1))</f>
        <v>24</v>
      </c>
      <c r="AB30" s="6">
        <f>IF(Y30="","",RANK(Z30,Z$4:Z$100,1))</f>
        <v>35</v>
      </c>
      <c r="AC30" s="4">
        <f ca="1">IF(ISNA(VLOOKUP($B30,INDIRECT("'"&amp;AC$2&amp;"'!$B$3:$E$72"),4,FALSE)),"",VLOOKUP($B30,INDIRECT("'"&amp;AC$2&amp;"'!$B$3:$E$72"),4,FALSE))</f>
        <v>24</v>
      </c>
      <c r="AD30" s="5">
        <f>IF(AC30="","",AC30+Z30)</f>
        <v>241</v>
      </c>
      <c r="AE30" s="5">
        <f ca="1">IF(AD30="","",RANK(AD30,INDIRECT("AD"&amp;VLOOKUP($A30,$BA$1:$BC$3,2,FALSE)&amp;":AD"&amp;VLOOKUP($A30,$BA$1:$BC$3,3,FALSE)),1))</f>
        <v>23</v>
      </c>
      <c r="AF30" s="6">
        <f>IF(AC30="","",RANK(AD30,AD$4:AD$100,1))</f>
        <v>33</v>
      </c>
      <c r="AG30" s="4">
        <f ca="1">IF(ISNA(VLOOKUP($B30,INDIRECT("'"&amp;AG$2&amp;"'!$B$3:$E$72"),4,FALSE)),"",VLOOKUP($B30,INDIRECT("'"&amp;AG$2&amp;"'!$B$3:$E$72"),4,FALSE))</f>
        <v>37</v>
      </c>
      <c r="AH30" s="5">
        <f>IF(AG30="","",AG30+AD30)</f>
        <v>278</v>
      </c>
      <c r="AI30" s="5">
        <f ca="1">IF(AH30="","",RANK(AH30,INDIRECT("AH"&amp;VLOOKUP($A30,$BA$1:$BC$3,2,FALSE)&amp;":AH"&amp;VLOOKUP($A30,$BA$1:$BC$3,3,FALSE)),1))</f>
        <v>23</v>
      </c>
      <c r="AJ30" s="6">
        <f>IF(AG30="","",RANK(AH30,AH$4:AH$100,1))</f>
        <v>33</v>
      </c>
      <c r="AK30" s="4">
        <f ca="1">IF(ISNA(VLOOKUP($B30,INDIRECT("'"&amp;AK$2&amp;"'!$B$3:$E$72"),4,FALSE)),"",VLOOKUP($B30,INDIRECT("'"&amp;AK$2&amp;"'!$B$3:$E$72"),4,FALSE))</f>
        <v>50</v>
      </c>
      <c r="AL30" s="5">
        <f>IF(AK30="","",AK30+AH30)</f>
        <v>328</v>
      </c>
      <c r="AM30" s="5">
        <f ca="1">IF(AL30="","",RANK(AL30,INDIRECT("AL"&amp;VLOOKUP($A30,$BA$1:$BC$3,2,FALSE)&amp;":AL"&amp;VLOOKUP($A30,$BA$1:$BC$3,3,FALSE)),1))</f>
        <v>26</v>
      </c>
      <c r="AN30" s="6">
        <f>IF(AK30="","",RANK(AL30,AL$4:AL$100,1))</f>
        <v>38</v>
      </c>
      <c r="AO30" s="4">
        <f ca="1">IF(ISNA(VLOOKUP($B30,INDIRECT("'"&amp;AO$2&amp;"'!$B$3:$E$72"),4,FALSE)),"",VLOOKUP($B30,INDIRECT("'"&amp;AO$2&amp;"'!$B$3:$E$72"),4,FALSE))</f>
        <v>49</v>
      </c>
      <c r="AP30" s="5">
        <f>IF(AO30="","",AO30+AL30)</f>
        <v>377</v>
      </c>
      <c r="AQ30" s="5">
        <f ca="1">IF(AP30="","",RANK(AP30,INDIRECT("AP"&amp;VLOOKUP($A30,$BA$1:$BC$3,2,FALSE)&amp;":AP"&amp;VLOOKUP($A30,$BA$1:$BC$3,3,FALSE)),1))</f>
        <v>27</v>
      </c>
      <c r="AR30" s="6">
        <f>IF(AO30="","",RANK(AP30,AP$4:AP$100,1))</f>
        <v>40</v>
      </c>
      <c r="AT30" s="4">
        <f>SUM(G30,I30,M30,Q30,U30,Y30,AC30,AG30,AK30,AO30)</f>
        <v>377</v>
      </c>
      <c r="AU30" s="5">
        <f ca="1">RANK(AT30,INDIRECT("AT"&amp;VLOOKUP($A30,$BA$1:$BC$3,2,FALSE)&amp;":AT"&amp;VLOOKUP($A30,$BA$1:$BC$3,3,FALSE)),1)</f>
        <v>27</v>
      </c>
      <c r="AV30" s="5">
        <f>RANK(AT30,$AT$4:$AT$100,1)</f>
        <v>40</v>
      </c>
      <c r="AW30" s="4">
        <f>MIN(G30,I30,M30,Q30,U30,Y30,AC30,AG30,AK30,AO30)</f>
        <v>21</v>
      </c>
      <c r="AX30" s="5">
        <f>MAX(G30,I30,M30,Q30,U30,Y30,AC30,AG30,AK30,AO30)</f>
        <v>55</v>
      </c>
      <c r="AY30" s="6">
        <f>MEDIAN(G30,I30,M30,Q30,U30,Y30,AC30,AG30,AK30,AO30)</f>
        <v>37</v>
      </c>
    </row>
    <row r="31" spans="1:51" ht="15.75">
      <c r="A31" s="14" t="s">
        <v>3</v>
      </c>
      <c r="B31" s="41">
        <v>6</v>
      </c>
      <c r="C31" s="40" t="str">
        <f>IF(ISBLANK(B31),"",VLOOKUP(B31,Entries!$A$4:$C$65,3,FALSE))</f>
        <v>Thurrock Nomads B - The Z list</v>
      </c>
      <c r="D31" s="4">
        <f>IF(AT31=0,"",AT31)</f>
        <v>379</v>
      </c>
      <c r="E31" s="5">
        <f ca="1">IF(OR(ISBLANK(D31),D31=0,D31=""),"",RANK(D31,INDIRECT("D"&amp;VLOOKUP($A31,$BA$1:$BC$3,2,FALSE)&amp;":D"&amp;VLOOKUP($A31,$BA$1:$BC$3,3,FALSE)),1))</f>
        <v>28</v>
      </c>
      <c r="F31" s="5">
        <f>IF(OR(ISBLANK(D31),D31=0,D31=""),"",RANK(D31,$D$4:$D$100,1))</f>
        <v>41</v>
      </c>
      <c r="G31" s="4">
        <f ca="1">IF(ISNA(VLOOKUP($B31,INDIRECT("'"&amp;G$2&amp;"'!$B$3:$E$72"),4,FALSE)),"",VLOOKUP($B31,INDIRECT("'"&amp;G$2&amp;"'!$B$3:$E$72"),4,FALSE))</f>
        <v>48</v>
      </c>
      <c r="H31" s="5">
        <f ca="1">IF(G31="","",RANK(G31,INDIRECT("G"&amp;VLOOKUP($A31,$BA$1:$BC$3,2,FALSE)&amp;":G"&amp;VLOOKUP($A31,$BA$1:$BC$3,3,FALSE)),1))</f>
        <v>31</v>
      </c>
      <c r="I31" s="4">
        <f ca="1">IF(ISNA(VLOOKUP($B31,INDIRECT("'"&amp;I$2&amp;"'!$B$3:$E$72"),4,FALSE)),"",VLOOKUP($B31,INDIRECT("'"&amp;I$2&amp;"'!$B$3:$E$72"),4,FALSE))</f>
        <v>45</v>
      </c>
      <c r="J31" s="5">
        <f>IF(I31="","",G31+I31)</f>
        <v>93</v>
      </c>
      <c r="K31" s="5">
        <f ca="1">IF(J31="","",RANK(J31,INDIRECT("J"&amp;VLOOKUP($A31,$BA$1:$BC$3,2,FALSE)&amp;":J"&amp;VLOOKUP($A31,$BA$1:$BC$3,3,FALSE)),1))</f>
        <v>30</v>
      </c>
      <c r="L31" s="6">
        <f>IF(I31="","",RANK(J31,J$4:J$100,1))</f>
        <v>45</v>
      </c>
      <c r="M31" s="4">
        <f ca="1">IF(ISNA(VLOOKUP($B31,INDIRECT("'"&amp;M$2&amp;"'!$B$3:$E$72"),4,FALSE)),"",VLOOKUP($B31,INDIRECT("'"&amp;M$2&amp;"'!$B$3:$E$72"),4,FALSE))</f>
        <v>17</v>
      </c>
      <c r="N31" s="5">
        <f>IF(M31="","",M31+J31)</f>
        <v>110</v>
      </c>
      <c r="O31" s="5">
        <f ca="1">IF(N31="","",RANK(N31,INDIRECT("N"&amp;VLOOKUP($A31,$BA$1:$BC$3,2,FALSE)&amp;":N"&amp;VLOOKUP($A31,$BA$1:$BC$3,3,FALSE)),1))</f>
        <v>26</v>
      </c>
      <c r="P31" s="6">
        <f>IF(M31="","",RANK(N31,N$4:N$100,1))</f>
        <v>37</v>
      </c>
      <c r="Q31" s="4">
        <f ca="1">IF(ISNA(VLOOKUP($B31,INDIRECT("'"&amp;Q$2&amp;"'!$B$3:$E$72"),4,FALSE)),"",VLOOKUP($B31,INDIRECT("'"&amp;Q$2&amp;"'!$B$3:$E$72"),4,FALSE))</f>
        <v>43</v>
      </c>
      <c r="R31" s="5">
        <f>IF(Q31="","",Q31+N31)</f>
        <v>153</v>
      </c>
      <c r="S31" s="5">
        <f ca="1">IF(R31="","",RANK(R31,INDIRECT("R"&amp;VLOOKUP($A31,$BA$1:$BC$3,2,FALSE)&amp;":R"&amp;VLOOKUP($A31,$BA$1:$BC$3,3,FALSE)),1))</f>
        <v>25</v>
      </c>
      <c r="T31" s="6">
        <f>IF(Q31="","",RANK(R31,R$4:R$100,1))</f>
        <v>37</v>
      </c>
      <c r="U31" s="4">
        <f ca="1">IF(ISNA(VLOOKUP($B31,INDIRECT("'"&amp;U$2&amp;"'!$B$3:$E$72"),4,FALSE)),"",VLOOKUP($B31,INDIRECT("'"&amp;U$2&amp;"'!$B$3:$E$72"),4,FALSE))</f>
        <v>26</v>
      </c>
      <c r="V31" s="5">
        <f>IF(U31="","",U31+R31)</f>
        <v>179</v>
      </c>
      <c r="W31" s="5">
        <f ca="1">IF(V31="","",RANK(V31,INDIRECT("V"&amp;VLOOKUP($A31,$BA$1:$BC$3,2,FALSE)&amp;":V"&amp;VLOOKUP($A31,$BA$1:$BC$3,3,FALSE)),1))</f>
        <v>24</v>
      </c>
      <c r="X31" s="6">
        <f>IF(U31="","",RANK(V31,V$4:V$100,1))</f>
        <v>34</v>
      </c>
      <c r="Y31" s="4">
        <f ca="1">IF(ISNA(VLOOKUP($B31,INDIRECT("'"&amp;Y$2&amp;"'!$B$3:$E$72"),4,FALSE)),"",VLOOKUP($B31,INDIRECT("'"&amp;Y$2&amp;"'!$B$3:$E$72"),4,FALSE))</f>
        <v>31</v>
      </c>
      <c r="Z31" s="5">
        <f>IF(Y31="","",Y31+V31)</f>
        <v>210</v>
      </c>
      <c r="AA31" s="5">
        <f ca="1">IF(Z31="","",RANK(Z31,INDIRECT("Z"&amp;VLOOKUP($A31,$BA$1:$BC$3,2,FALSE)&amp;":Z"&amp;VLOOKUP($A31,$BA$1:$BC$3,3,FALSE)),1))</f>
        <v>23</v>
      </c>
      <c r="AB31" s="6">
        <f>IF(Y31="","",RANK(Z31,Z$4:Z$100,1))</f>
        <v>33</v>
      </c>
      <c r="AC31" s="4">
        <f ca="1">IF(ISNA(VLOOKUP($B31,INDIRECT("'"&amp;AC$2&amp;"'!$B$3:$E$72"),4,FALSE)),"",VLOOKUP($B31,INDIRECT("'"&amp;AC$2&amp;"'!$B$3:$E$72"),4,FALSE))</f>
        <v>28</v>
      </c>
      <c r="AD31" s="5">
        <f>IF(AC31="","",AC31+Z31)</f>
        <v>238</v>
      </c>
      <c r="AE31" s="5">
        <f ca="1">IF(AD31="","",RANK(AD31,INDIRECT("AD"&amp;VLOOKUP($A31,$BA$1:$BC$3,2,FALSE)&amp;":AD"&amp;VLOOKUP($A31,$BA$1:$BC$3,3,FALSE)),1))</f>
        <v>22</v>
      </c>
      <c r="AF31" s="6">
        <f>IF(AC31="","",RANK(AD31,AD$4:AD$100,1))</f>
        <v>32</v>
      </c>
      <c r="AG31" s="4">
        <f ca="1">IF(ISNA(VLOOKUP($B31,INDIRECT("'"&amp;AG$2&amp;"'!$B$3:$E$72"),4,FALSE)),"",VLOOKUP($B31,INDIRECT("'"&amp;AG$2&amp;"'!$B$3:$E$72"),4,FALSE))</f>
        <v>39</v>
      </c>
      <c r="AH31" s="5">
        <f>IF(AG31="","",AG31+AD31)</f>
        <v>277</v>
      </c>
      <c r="AI31" s="5">
        <f ca="1">IF(AH31="","",RANK(AH31,INDIRECT("AH"&amp;VLOOKUP($A31,$BA$1:$BC$3,2,FALSE)&amp;":AH"&amp;VLOOKUP($A31,$BA$1:$BC$3,3,FALSE)),1))</f>
        <v>22</v>
      </c>
      <c r="AJ31" s="6">
        <f>IF(AG31="","",RANK(AH31,AH$4:AH$100,1))</f>
        <v>32</v>
      </c>
      <c r="AK31" s="4">
        <f ca="1">IF(ISNA(VLOOKUP($B31,INDIRECT("'"&amp;AK$2&amp;"'!$B$3:$E$72"),4,FALSE)),"",VLOOKUP($B31,INDIRECT("'"&amp;AK$2&amp;"'!$B$3:$E$72"),4,FALSE))</f>
        <v>52</v>
      </c>
      <c r="AL31" s="5">
        <f>IF(AK31="","",AK31+AH31)</f>
        <v>329</v>
      </c>
      <c r="AM31" s="5">
        <f ca="1">IF(AL31="","",RANK(AL31,INDIRECT("AL"&amp;VLOOKUP($A31,$BA$1:$BC$3,2,FALSE)&amp;":AL"&amp;VLOOKUP($A31,$BA$1:$BC$3,3,FALSE)),1))</f>
        <v>27</v>
      </c>
      <c r="AN31" s="6">
        <f>IF(AK31="","",RANK(AL31,AL$4:AL$100,1))</f>
        <v>39</v>
      </c>
      <c r="AO31" s="4">
        <f ca="1">IF(ISNA(VLOOKUP($B31,INDIRECT("'"&amp;AO$2&amp;"'!$B$3:$E$72"),4,FALSE)),"",VLOOKUP($B31,INDIRECT("'"&amp;AO$2&amp;"'!$B$3:$E$72"),4,FALSE))</f>
        <v>50</v>
      </c>
      <c r="AP31" s="5">
        <f>IF(AO31="","",AO31+AL31)</f>
        <v>379</v>
      </c>
      <c r="AQ31" s="5">
        <f ca="1">IF(AP31="","",RANK(AP31,INDIRECT("AP"&amp;VLOOKUP($A31,$BA$1:$BC$3,2,FALSE)&amp;":AP"&amp;VLOOKUP($A31,$BA$1:$BC$3,3,FALSE)),1))</f>
        <v>28</v>
      </c>
      <c r="AR31" s="6">
        <f>IF(AO31="","",RANK(AP31,AP$4:AP$100,1))</f>
        <v>41</v>
      </c>
      <c r="AT31" s="4">
        <f>SUM(G31,I31,M31,Q31,U31,Y31,AC31,AG31,AK31,AO31)</f>
        <v>379</v>
      </c>
      <c r="AU31" s="5">
        <f ca="1">RANK(AT31,INDIRECT("AT"&amp;VLOOKUP($A31,$BA$1:$BC$3,2,FALSE)&amp;":AT"&amp;VLOOKUP($A31,$BA$1:$BC$3,3,FALSE)),1)</f>
        <v>28</v>
      </c>
      <c r="AV31" s="5">
        <f>RANK(AT31,$AT$4:$AT$100,1)</f>
        <v>41</v>
      </c>
      <c r="AW31" s="4">
        <f>MIN(G31,I31,M31,Q31,U31,Y31,AC31,AG31,AK31,AO31)</f>
        <v>17</v>
      </c>
      <c r="AX31" s="5">
        <f>MAX(G31,I31,M31,Q31,U31,Y31,AC31,AG31,AK31,AO31)</f>
        <v>52</v>
      </c>
      <c r="AY31" s="6">
        <f>MEDIAN(G31,I31,M31,Q31,U31,Y31,AC31,AG31,AK31,AO31)</f>
        <v>41</v>
      </c>
    </row>
    <row r="32" spans="1:51" ht="15.75">
      <c r="A32" s="14" t="s">
        <v>3</v>
      </c>
      <c r="B32" s="14">
        <v>34</v>
      </c>
      <c r="C32" s="40" t="str">
        <f>IF(ISBLANK(B32),"",VLOOKUP(B32,Entries!$A$4:$C$65,3,FALSE))</f>
        <v>Grange Farm C</v>
      </c>
      <c r="D32" s="4">
        <f>IF(AT32=0,"",AT32)</f>
        <v>385</v>
      </c>
      <c r="E32" s="5">
        <f ca="1">IF(OR(ISBLANK(D32),D32=0,D32=""),"",RANK(D32,INDIRECT("D"&amp;VLOOKUP($A32,$BA$1:$BC$3,2,FALSE)&amp;":D"&amp;VLOOKUP($A32,$BA$1:$BC$3,3,FALSE)),1))</f>
        <v>29</v>
      </c>
      <c r="F32" s="5">
        <f>IF(OR(ISBLANK(D32),D32=0,D32=""),"",RANK(D32,$D$4:$D$100,1))</f>
        <v>42</v>
      </c>
      <c r="G32" s="4">
        <f ca="1">IF(ISNA(VLOOKUP($B32,INDIRECT("'"&amp;G$2&amp;"'!$B$3:$E$72"),4,FALSE)),"",VLOOKUP($B32,INDIRECT("'"&amp;G$2&amp;"'!$B$3:$E$72"),4,FALSE))</f>
        <v>12</v>
      </c>
      <c r="H32" s="5">
        <f ca="1">IF(G32="","",RANK(G32,INDIRECT("G"&amp;VLOOKUP($A32,$BA$1:$BC$3,2,FALSE)&amp;":G"&amp;VLOOKUP($A32,$BA$1:$BC$3,3,FALSE)),1))</f>
        <v>11</v>
      </c>
      <c r="I32" s="4">
        <f ca="1">IF(ISNA(VLOOKUP($B32,INDIRECT("'"&amp;I$2&amp;"'!$B$3:$E$72"),4,FALSE)),"",VLOOKUP($B32,INDIRECT("'"&amp;I$2&amp;"'!$B$3:$E$72"),4,FALSE))</f>
        <v>23</v>
      </c>
      <c r="J32" s="5">
        <f>IF(I32="","",G32+I32)</f>
        <v>35</v>
      </c>
      <c r="K32" s="5">
        <f ca="1">IF(J32="","",RANK(J32,INDIRECT("J"&amp;VLOOKUP($A32,$BA$1:$BC$3,2,FALSE)&amp;":J"&amp;VLOOKUP($A32,$BA$1:$BC$3,3,FALSE)),1))</f>
        <v>13</v>
      </c>
      <c r="L32" s="6">
        <f>IF(I32="","",RANK(J32,J$4:J$100,1))</f>
        <v>16</v>
      </c>
      <c r="M32" s="4">
        <f ca="1">IF(ISNA(VLOOKUP($B32,INDIRECT("'"&amp;M$2&amp;"'!$B$3:$E$72"),4,FALSE)),"",VLOOKUP($B32,INDIRECT("'"&amp;M$2&amp;"'!$B$3:$E$72"),4,FALSE))</f>
        <v>50</v>
      </c>
      <c r="N32" s="5">
        <f>IF(M32="","",M32+J32)</f>
        <v>85</v>
      </c>
      <c r="O32" s="5">
        <f ca="1">IF(N32="","",RANK(N32,INDIRECT("N"&amp;VLOOKUP($A32,$BA$1:$BC$3,2,FALSE)&amp;":N"&amp;VLOOKUP($A32,$BA$1:$BC$3,3,FALSE)),1))</f>
        <v>20</v>
      </c>
      <c r="P32" s="6">
        <f>IF(M32="","",RANK(N32,N$4:N$100,1))</f>
        <v>24</v>
      </c>
      <c r="Q32" s="4">
        <f ca="1">IF(ISNA(VLOOKUP($B32,INDIRECT("'"&amp;Q$2&amp;"'!$B$3:$E$72"),4,FALSE)),"",VLOOKUP($B32,INDIRECT("'"&amp;Q$2&amp;"'!$B$3:$E$72"),4,FALSE))</f>
        <v>32</v>
      </c>
      <c r="R32" s="5">
        <f>IF(Q32="","",Q32+N32)</f>
        <v>117</v>
      </c>
      <c r="S32" s="5">
        <f ca="1">IF(R32="","",RANK(R32,INDIRECT("R"&amp;VLOOKUP($A32,$BA$1:$BC$3,2,FALSE)&amp;":R"&amp;VLOOKUP($A32,$BA$1:$BC$3,3,FALSE)),1))</f>
        <v>20</v>
      </c>
      <c r="T32" s="6">
        <f>IF(Q32="","",RANK(R32,R$4:R$100,1))</f>
        <v>25</v>
      </c>
      <c r="U32" s="4">
        <f ca="1">IF(ISNA(VLOOKUP($B32,INDIRECT("'"&amp;U$2&amp;"'!$B$3:$E$72"),4,FALSE)),"",VLOOKUP($B32,INDIRECT("'"&amp;U$2&amp;"'!$B$3:$E$72"),4,FALSE))</f>
        <v>51</v>
      </c>
      <c r="V32" s="5">
        <f>IF(U32="","",U32+R32)</f>
        <v>168</v>
      </c>
      <c r="W32" s="5">
        <f ca="1">IF(V32="","",RANK(V32,INDIRECT("V"&amp;VLOOKUP($A32,$BA$1:$BC$3,2,FALSE)&amp;":V"&amp;VLOOKUP($A32,$BA$1:$BC$3,3,FALSE)),1))</f>
        <v>22</v>
      </c>
      <c r="X32" s="6">
        <f>IF(U32="","",RANK(V32,V$4:V$100,1))</f>
        <v>32</v>
      </c>
      <c r="Y32" s="4">
        <f ca="1">IF(ISNA(VLOOKUP($B32,INDIRECT("'"&amp;Y$2&amp;"'!$B$3:$E$72"),4,FALSE)),"",VLOOKUP($B32,INDIRECT("'"&amp;Y$2&amp;"'!$B$3:$E$72"),4,FALSE))</f>
        <v>39</v>
      </c>
      <c r="Z32" s="5">
        <f>IF(Y32="","",Y32+V32)</f>
        <v>207</v>
      </c>
      <c r="AA32" s="5">
        <f ca="1">IF(Z32="","",RANK(Z32,INDIRECT("Z"&amp;VLOOKUP($A32,$BA$1:$BC$3,2,FALSE)&amp;":Z"&amp;VLOOKUP($A32,$BA$1:$BC$3,3,FALSE)),1))</f>
        <v>21</v>
      </c>
      <c r="AB32" s="6">
        <f>IF(Y32="","",RANK(Z32,Z$4:Z$100,1))</f>
        <v>31</v>
      </c>
      <c r="AC32" s="4">
        <f ca="1">IF(ISNA(VLOOKUP($B32,INDIRECT("'"&amp;AC$2&amp;"'!$B$3:$E$72"),4,FALSE)),"",VLOOKUP($B32,INDIRECT("'"&amp;AC$2&amp;"'!$B$3:$E$72"),4,FALSE))</f>
        <v>55</v>
      </c>
      <c r="AD32" s="5">
        <f>IF(AC32="","",AC32+Z32)</f>
        <v>262</v>
      </c>
      <c r="AE32" s="5">
        <f ca="1">IF(AD32="","",RANK(AD32,INDIRECT("AD"&amp;VLOOKUP($A32,$BA$1:$BC$3,2,FALSE)&amp;":AD"&amp;VLOOKUP($A32,$BA$1:$BC$3,3,FALSE)),1))</f>
        <v>27</v>
      </c>
      <c r="AF32" s="6">
        <f>IF(AC32="","",RANK(AD32,AD$4:AD$100,1))</f>
        <v>39</v>
      </c>
      <c r="AG32" s="4">
        <f ca="1">IF(ISNA(VLOOKUP($B32,INDIRECT("'"&amp;AG$2&amp;"'!$B$3:$E$72"),4,FALSE)),"",VLOOKUP($B32,INDIRECT("'"&amp;AG$2&amp;"'!$B$3:$E$72"),4,FALSE))</f>
        <v>32</v>
      </c>
      <c r="AH32" s="5">
        <f>IF(AG32="","",AG32+AD32)</f>
        <v>294</v>
      </c>
      <c r="AI32" s="5">
        <f ca="1">IF(AH32="","",RANK(AH32,INDIRECT("AH"&amp;VLOOKUP($A32,$BA$1:$BC$3,2,FALSE)&amp;":AH"&amp;VLOOKUP($A32,$BA$1:$BC$3,3,FALSE)),1))</f>
        <v>27</v>
      </c>
      <c r="AJ32" s="6">
        <f>IF(AG32="","",RANK(AH32,AH$4:AH$100,1))</f>
        <v>38</v>
      </c>
      <c r="AK32" s="4">
        <f ca="1">IF(ISNA(VLOOKUP($B32,INDIRECT("'"&amp;AK$2&amp;"'!$B$3:$E$72"),4,FALSE)),"",VLOOKUP($B32,INDIRECT("'"&amp;AK$2&amp;"'!$B$3:$E$72"),4,FALSE))</f>
        <v>33</v>
      </c>
      <c r="AL32" s="5">
        <f>IF(AK32="","",AK32+AH32)</f>
        <v>327</v>
      </c>
      <c r="AM32" s="5">
        <f ca="1">IF(AL32="","",RANK(AL32,INDIRECT("AL"&amp;VLOOKUP($A32,$BA$1:$BC$3,2,FALSE)&amp;":AL"&amp;VLOOKUP($A32,$BA$1:$BC$3,3,FALSE)),1))</f>
        <v>25</v>
      </c>
      <c r="AN32" s="6">
        <f>IF(AK32="","",RANK(AL32,AL$4:AL$100,1))</f>
        <v>37</v>
      </c>
      <c r="AO32" s="4">
        <f ca="1">IF(ISNA(VLOOKUP($B32,INDIRECT("'"&amp;AO$2&amp;"'!$B$3:$E$72"),4,FALSE)),"",VLOOKUP($B32,INDIRECT("'"&amp;AO$2&amp;"'!$B$3:$E$72"),4,FALSE))</f>
        <v>58</v>
      </c>
      <c r="AP32" s="5">
        <f>IF(AO32="","",AO32+AL32)</f>
        <v>385</v>
      </c>
      <c r="AQ32" s="5">
        <f ca="1">IF(AP32="","",RANK(AP32,INDIRECT("AP"&amp;VLOOKUP($A32,$BA$1:$BC$3,2,FALSE)&amp;":AP"&amp;VLOOKUP($A32,$BA$1:$BC$3,3,FALSE)),1))</f>
        <v>29</v>
      </c>
      <c r="AR32" s="6">
        <f>IF(AO32="","",RANK(AP32,AP$4:AP$100,1))</f>
        <v>42</v>
      </c>
      <c r="AT32" s="4">
        <f>SUM(G32,I32,M32,Q32,U32,Y32,AC32,AG32,AK32,AO32)</f>
        <v>385</v>
      </c>
      <c r="AU32" s="5">
        <f ca="1">RANK(AT32,INDIRECT("AT"&amp;VLOOKUP($A32,$BA$1:$BC$3,2,FALSE)&amp;":AT"&amp;VLOOKUP($A32,$BA$1:$BC$3,3,FALSE)),1)</f>
        <v>29</v>
      </c>
      <c r="AV32" s="5">
        <f>RANK(AT32,$AT$4:$AT$100,1)</f>
        <v>42</v>
      </c>
      <c r="AW32" s="4">
        <f>MIN(G32,I32,M32,Q32,U32,Y32,AC32,AG32,AK32,AO32)</f>
        <v>12</v>
      </c>
      <c r="AX32" s="5">
        <f>MAX(G32,I32,M32,Q32,U32,Y32,AC32,AG32,AK32,AO32)</f>
        <v>58</v>
      </c>
      <c r="AY32" s="6">
        <f>MEDIAN(G32,I32,M32,Q32,U32,Y32,AC32,AG32,AK32,AO32)</f>
        <v>36</v>
      </c>
    </row>
    <row r="33" spans="1:51" ht="15.75">
      <c r="A33" s="14" t="s">
        <v>3</v>
      </c>
      <c r="B33" s="41">
        <v>22</v>
      </c>
      <c r="C33" s="40" t="str">
        <f>IF(ISBLANK(B33),"",VLOOKUP(B33,Entries!$A$4:$C$65,3,FALSE))</f>
        <v>TGT Men B</v>
      </c>
      <c r="D33" s="4">
        <f>IF(AT33=0,"",AT33)</f>
        <v>396</v>
      </c>
      <c r="E33" s="5">
        <f ca="1">IF(OR(ISBLANK(D33),D33=0,D33=""),"",RANK(D33,INDIRECT("D"&amp;VLOOKUP($A33,$BA$1:$BC$3,2,FALSE)&amp;":D"&amp;VLOOKUP($A33,$BA$1:$BC$3,3,FALSE)),1))</f>
        <v>30</v>
      </c>
      <c r="F33" s="5">
        <f>IF(OR(ISBLANK(D33),D33=0,D33=""),"",RANK(D33,$D$4:$D$100,1))</f>
        <v>44</v>
      </c>
      <c r="G33" s="4">
        <f ca="1">IF(ISNA(VLOOKUP($B33,INDIRECT("'"&amp;G$2&amp;"'!$B$3:$E$72"),4,FALSE)),"",VLOOKUP($B33,INDIRECT("'"&amp;G$2&amp;"'!$B$3:$E$72"),4,FALSE))</f>
        <v>50</v>
      </c>
      <c r="H33" s="5">
        <f ca="1">IF(G33="","",RANK(G33,INDIRECT("G"&amp;VLOOKUP($A33,$BA$1:$BC$3,2,FALSE)&amp;":G"&amp;VLOOKUP($A33,$BA$1:$BC$3,3,FALSE)),1))</f>
        <v>33</v>
      </c>
      <c r="I33" s="4">
        <f ca="1">IF(ISNA(VLOOKUP($B33,INDIRECT("'"&amp;I$2&amp;"'!$B$3:$E$72"),4,FALSE)),"",VLOOKUP($B33,INDIRECT("'"&amp;I$2&amp;"'!$B$3:$E$72"),4,FALSE))</f>
        <v>31</v>
      </c>
      <c r="J33" s="5">
        <f>IF(I33="","",G33+I33)</f>
        <v>81</v>
      </c>
      <c r="K33" s="5">
        <f ca="1">IF(J33="","",RANK(J33,INDIRECT("J"&amp;VLOOKUP($A33,$BA$1:$BC$3,2,FALSE)&amp;":J"&amp;VLOOKUP($A33,$BA$1:$BC$3,3,FALSE)),1))</f>
        <v>27</v>
      </c>
      <c r="L33" s="6">
        <f>IF(I33="","",RANK(J33,J$4:J$100,1))</f>
        <v>39</v>
      </c>
      <c r="M33" s="4">
        <f ca="1">IF(ISNA(VLOOKUP($B33,INDIRECT("'"&amp;M$2&amp;"'!$B$3:$E$72"),4,FALSE)),"",VLOOKUP($B33,INDIRECT("'"&amp;M$2&amp;"'!$B$3:$E$72"),4,FALSE))</f>
        <v>25</v>
      </c>
      <c r="N33" s="5">
        <f>IF(M33="","",M33+J33)</f>
        <v>106</v>
      </c>
      <c r="O33" s="5">
        <f ca="1">IF(N33="","",RANK(N33,INDIRECT("N"&amp;VLOOKUP($A33,$BA$1:$BC$3,2,FALSE)&amp;":N"&amp;VLOOKUP($A33,$BA$1:$BC$3,3,FALSE)),1))</f>
        <v>23</v>
      </c>
      <c r="P33" s="6">
        <f>IF(M33="","",RANK(N33,N$4:N$100,1))</f>
        <v>33</v>
      </c>
      <c r="Q33" s="4">
        <f ca="1">IF(ISNA(VLOOKUP($B33,INDIRECT("'"&amp;Q$2&amp;"'!$B$3:$E$72"),4,FALSE)),"",VLOOKUP($B33,INDIRECT("'"&amp;Q$2&amp;"'!$B$3:$E$72"),4,FALSE))</f>
        <v>20</v>
      </c>
      <c r="R33" s="5">
        <f>IF(Q33="","",Q33+N33)</f>
        <v>126</v>
      </c>
      <c r="S33" s="5">
        <f ca="1">IF(R33="","",RANK(R33,INDIRECT("R"&amp;VLOOKUP($A33,$BA$1:$BC$3,2,FALSE)&amp;":R"&amp;VLOOKUP($A33,$BA$1:$BC$3,3,FALSE)),1))</f>
        <v>21</v>
      </c>
      <c r="T33" s="6">
        <f>IF(Q33="","",RANK(R33,R$4:R$100,1))</f>
        <v>28</v>
      </c>
      <c r="U33" s="4">
        <f ca="1">IF(ISNA(VLOOKUP($B33,INDIRECT("'"&amp;U$2&amp;"'!$B$3:$E$72"),4,FALSE)),"",VLOOKUP($B33,INDIRECT("'"&amp;U$2&amp;"'!$B$3:$E$72"),4,FALSE))</f>
        <v>47</v>
      </c>
      <c r="V33" s="5">
        <f>IF(U33="","",U33+R33)</f>
        <v>173</v>
      </c>
      <c r="W33" s="5">
        <f ca="1">IF(V33="","",RANK(V33,INDIRECT("V"&amp;VLOOKUP($A33,$BA$1:$BC$3,2,FALSE)&amp;":V"&amp;VLOOKUP($A33,$BA$1:$BC$3,3,FALSE)),1))</f>
        <v>23</v>
      </c>
      <c r="X33" s="6">
        <f>IF(U33="","",RANK(V33,V$4:V$100,1))</f>
        <v>33</v>
      </c>
      <c r="Y33" s="4">
        <f ca="1">IF(ISNA(VLOOKUP($B33,INDIRECT("'"&amp;Y$2&amp;"'!$B$3:$E$72"),4,FALSE)),"",VLOOKUP($B33,INDIRECT("'"&amp;Y$2&amp;"'!$B$3:$E$72"),4,FALSE))</f>
        <v>45</v>
      </c>
      <c r="Z33" s="5">
        <f>IF(Y33="","",Y33+V33)</f>
        <v>218</v>
      </c>
      <c r="AA33" s="5">
        <f ca="1">IF(Z33="","",RANK(Z33,INDIRECT("Z"&amp;VLOOKUP($A33,$BA$1:$BC$3,2,FALSE)&amp;":Z"&amp;VLOOKUP($A33,$BA$1:$BC$3,3,FALSE)),1))</f>
        <v>26</v>
      </c>
      <c r="AB33" s="6">
        <f>IF(Y33="","",RANK(Z33,Z$4:Z$100,1))</f>
        <v>37</v>
      </c>
      <c r="AC33" s="4">
        <f ca="1">IF(ISNA(VLOOKUP($B33,INDIRECT("'"&amp;AC$2&amp;"'!$B$3:$E$72"),4,FALSE)),"",VLOOKUP($B33,INDIRECT("'"&amp;AC$2&amp;"'!$B$3:$E$72"),4,FALSE))</f>
        <v>38</v>
      </c>
      <c r="AD33" s="5">
        <f>IF(AC33="","",AC33+Z33)</f>
        <v>256</v>
      </c>
      <c r="AE33" s="5">
        <f ca="1">IF(AD33="","",RANK(AD33,INDIRECT("AD"&amp;VLOOKUP($A33,$BA$1:$BC$3,2,FALSE)&amp;":AD"&amp;VLOOKUP($A33,$BA$1:$BC$3,3,FALSE)),1))</f>
        <v>25</v>
      </c>
      <c r="AF33" s="6">
        <f>IF(AC33="","",RANK(AD33,AD$4:AD$100,1))</f>
        <v>37</v>
      </c>
      <c r="AG33" s="4">
        <f ca="1">IF(ISNA(VLOOKUP($B33,INDIRECT("'"&amp;AG$2&amp;"'!$B$3:$E$72"),4,FALSE)),"",VLOOKUP($B33,INDIRECT("'"&amp;AG$2&amp;"'!$B$3:$E$72"),4,FALSE))</f>
        <v>36</v>
      </c>
      <c r="AH33" s="5">
        <f>IF(AG33="","",AG33+AD33)</f>
        <v>292</v>
      </c>
      <c r="AI33" s="5">
        <f ca="1">IF(AH33="","",RANK(AH33,INDIRECT("AH"&amp;VLOOKUP($A33,$BA$1:$BC$3,2,FALSE)&amp;":AH"&amp;VLOOKUP($A33,$BA$1:$BC$3,3,FALSE)),1))</f>
        <v>26</v>
      </c>
      <c r="AJ33" s="6">
        <f>IF(AG33="","",RANK(AH33,AH$4:AH$100,1))</f>
        <v>37</v>
      </c>
      <c r="AK33" s="4">
        <f ca="1">IF(ISNA(VLOOKUP($B33,INDIRECT("'"&amp;AK$2&amp;"'!$B$3:$E$72"),4,FALSE)),"",VLOOKUP($B33,INDIRECT("'"&amp;AK$2&amp;"'!$B$3:$E$72"),4,FALSE))</f>
        <v>53</v>
      </c>
      <c r="AL33" s="5">
        <f>IF(AK33="","",AK33+AH33)</f>
        <v>345</v>
      </c>
      <c r="AM33" s="5">
        <f ca="1">IF(AL33="","",RANK(AL33,INDIRECT("AL"&amp;VLOOKUP($A33,$BA$1:$BC$3,2,FALSE)&amp;":AL"&amp;VLOOKUP($A33,$BA$1:$BC$3,3,FALSE)),1))</f>
        <v>28</v>
      </c>
      <c r="AN33" s="6">
        <f>IF(AK33="","",RANK(AL33,AL$4:AL$100,1))</f>
        <v>41</v>
      </c>
      <c r="AO33" s="4">
        <f ca="1">IF(ISNA(VLOOKUP($B33,INDIRECT("'"&amp;AO$2&amp;"'!$B$3:$E$72"),4,FALSE)),"",VLOOKUP($B33,INDIRECT("'"&amp;AO$2&amp;"'!$B$3:$E$72"),4,FALSE))</f>
        <v>51</v>
      </c>
      <c r="AP33" s="5">
        <f>IF(AO33="","",AO33+AL33)</f>
        <v>396</v>
      </c>
      <c r="AQ33" s="5">
        <f ca="1">IF(AP33="","",RANK(AP33,INDIRECT("AP"&amp;VLOOKUP($A33,$BA$1:$BC$3,2,FALSE)&amp;":AP"&amp;VLOOKUP($A33,$BA$1:$BC$3,3,FALSE)),1))</f>
        <v>30</v>
      </c>
      <c r="AR33" s="6">
        <f>IF(AO33="","",RANK(AP33,AP$4:AP$100,1))</f>
        <v>44</v>
      </c>
      <c r="AT33" s="4">
        <f>SUM(G33,I33,M33,Q33,U33,Y33,AC33,AG33,AK33,AO33)</f>
        <v>396</v>
      </c>
      <c r="AU33" s="5">
        <f ca="1">RANK(AT33,INDIRECT("AT"&amp;VLOOKUP($A33,$BA$1:$BC$3,2,FALSE)&amp;":AT"&amp;VLOOKUP($A33,$BA$1:$BC$3,3,FALSE)),1)</f>
        <v>30</v>
      </c>
      <c r="AV33" s="5">
        <f>RANK(AT33,$AT$4:$AT$100,1)</f>
        <v>44</v>
      </c>
      <c r="AW33" s="4">
        <f>MIN(G33,I33,M33,Q33,U33,Y33,AC33,AG33,AK33,AO33)</f>
        <v>20</v>
      </c>
      <c r="AX33" s="5">
        <f>MAX(G33,I33,M33,Q33,U33,Y33,AC33,AG33,AK33,AO33)</f>
        <v>53</v>
      </c>
      <c r="AY33" s="6">
        <f>MEDIAN(G33,I33,M33,Q33,U33,Y33,AC33,AG33,AK33,AO33)</f>
        <v>41.5</v>
      </c>
    </row>
    <row r="34" spans="1:51" ht="15.75">
      <c r="A34" s="14" t="s">
        <v>3</v>
      </c>
      <c r="B34" s="14">
        <v>35</v>
      </c>
      <c r="C34" s="40" t="str">
        <f>IF(ISBLANK(B34),"",VLOOKUP(B34,Entries!$A$4:$C$65,3,FALSE))</f>
        <v>Leigh on Sea Towels by Poolside</v>
      </c>
      <c r="D34" s="4">
        <f>IF(AT34=0,"",AT34)</f>
        <v>402</v>
      </c>
      <c r="E34" s="5">
        <f ca="1">IF(OR(ISBLANK(D34),D34=0,D34=""),"",RANK(D34,INDIRECT("D"&amp;VLOOKUP($A34,$BA$1:$BC$3,2,FALSE)&amp;":D"&amp;VLOOKUP($A34,$BA$1:$BC$3,3,FALSE)),1))</f>
        <v>31</v>
      </c>
      <c r="F34" s="5">
        <f>IF(OR(ISBLANK(D34),D34=0,D34=""),"",RANK(D34,$D$4:$D$100,1))</f>
        <v>45</v>
      </c>
      <c r="G34" s="4">
        <f ca="1">IF(ISNA(VLOOKUP($B34,INDIRECT("'"&amp;G$2&amp;"'!$B$3:$E$72"),4,FALSE)),"",VLOOKUP($B34,INDIRECT("'"&amp;G$2&amp;"'!$B$3:$E$72"),4,FALSE))</f>
        <v>18</v>
      </c>
      <c r="H34" s="5">
        <f ca="1">IF(G34="","",RANK(G34,INDIRECT("G"&amp;VLOOKUP($A34,$BA$1:$BC$3,2,FALSE)&amp;":G"&amp;VLOOKUP($A34,$BA$1:$BC$3,3,FALSE)),1))</f>
        <v>15</v>
      </c>
      <c r="I34" s="4">
        <f ca="1">IF(ISNA(VLOOKUP($B34,INDIRECT("'"&amp;I$2&amp;"'!$B$3:$E$72"),4,FALSE)),"",VLOOKUP($B34,INDIRECT("'"&amp;I$2&amp;"'!$B$3:$E$72"),4,FALSE))</f>
        <v>41</v>
      </c>
      <c r="J34" s="5">
        <f>IF(I34="","",G34+I34)</f>
        <v>59</v>
      </c>
      <c r="K34" s="5">
        <f ca="1">IF(J34="","",RANK(J34,INDIRECT("J"&amp;VLOOKUP($A34,$BA$1:$BC$3,2,FALSE)&amp;":J"&amp;VLOOKUP($A34,$BA$1:$BC$3,3,FALSE)),1))</f>
        <v>22</v>
      </c>
      <c r="L34" s="6">
        <f>IF(I34="","",RANK(J34,J$4:J$100,1))</f>
        <v>27</v>
      </c>
      <c r="M34" s="4">
        <f ca="1">IF(ISNA(VLOOKUP($B34,INDIRECT("'"&amp;M$2&amp;"'!$B$3:$E$72"),4,FALSE)),"",VLOOKUP($B34,INDIRECT("'"&amp;M$2&amp;"'!$B$3:$E$72"),4,FALSE))</f>
        <v>100</v>
      </c>
      <c r="N34" s="5">
        <f>IF(M34="","",M34+J34)</f>
        <v>159</v>
      </c>
      <c r="O34" s="5">
        <f ca="1">IF(N34="","",RANK(N34,INDIRECT("N"&amp;VLOOKUP($A34,$BA$1:$BC$3,2,FALSE)&amp;":N"&amp;VLOOKUP($A34,$BA$1:$BC$3,3,FALSE)),1))</f>
        <v>36</v>
      </c>
      <c r="P34" s="6">
        <f>IF(M34="","",RANK(N34,N$4:N$100,1))</f>
        <v>55</v>
      </c>
      <c r="Q34" s="4">
        <f ca="1">IF(ISNA(VLOOKUP($B34,INDIRECT("'"&amp;Q$2&amp;"'!$B$3:$E$72"),4,FALSE)),"",VLOOKUP($B34,INDIRECT("'"&amp;Q$2&amp;"'!$B$3:$E$72"),4,FALSE))</f>
        <v>11</v>
      </c>
      <c r="R34" s="5">
        <f>IF(Q34="","",Q34+N34)</f>
        <v>170</v>
      </c>
      <c r="S34" s="5">
        <f ca="1">IF(R34="","",RANK(R34,INDIRECT("R"&amp;VLOOKUP($A34,$BA$1:$BC$3,2,FALSE)&amp;":R"&amp;VLOOKUP($A34,$BA$1:$BC$3,3,FALSE)),1))</f>
        <v>28</v>
      </c>
      <c r="T34" s="6">
        <f>IF(Q34="","",RANK(R34,R$4:R$100,1))</f>
        <v>42</v>
      </c>
      <c r="U34" s="4">
        <f ca="1">IF(ISNA(VLOOKUP($B34,INDIRECT("'"&amp;U$2&amp;"'!$B$3:$E$72"),4,FALSE)),"",VLOOKUP($B34,INDIRECT("'"&amp;U$2&amp;"'!$B$3:$E$72"),4,FALSE))</f>
        <v>39</v>
      </c>
      <c r="V34" s="5">
        <f>IF(U34="","",U34+R34)</f>
        <v>209</v>
      </c>
      <c r="W34" s="5">
        <f ca="1">IF(V34="","",RANK(V34,INDIRECT("V"&amp;VLOOKUP($A34,$BA$1:$BC$3,2,FALSE)&amp;":V"&amp;VLOOKUP($A34,$BA$1:$BC$3,3,FALSE)),1))</f>
        <v>30</v>
      </c>
      <c r="X34" s="6">
        <f>IF(U34="","",RANK(V34,V$4:V$100,1))</f>
        <v>45</v>
      </c>
      <c r="Y34" s="4">
        <f ca="1">IF(ISNA(VLOOKUP($B34,INDIRECT("'"&amp;Y$2&amp;"'!$B$3:$E$72"),4,FALSE)),"",VLOOKUP($B34,INDIRECT("'"&amp;Y$2&amp;"'!$B$3:$E$72"),4,FALSE))</f>
        <v>100</v>
      </c>
      <c r="Z34" s="5">
        <f>IF(Y34="","",Y34+V34)</f>
        <v>309</v>
      </c>
      <c r="AA34" s="5">
        <f ca="1">IF(Z34="","",RANK(Z34,INDIRECT("Z"&amp;VLOOKUP($A34,$BA$1:$BC$3,2,FALSE)&amp;":Z"&amp;VLOOKUP($A34,$BA$1:$BC$3,3,FALSE)),1))</f>
        <v>35</v>
      </c>
      <c r="AB34" s="6">
        <f>IF(Y34="","",RANK(Z34,Z$4:Z$100,1))</f>
        <v>52</v>
      </c>
      <c r="AC34" s="4">
        <f ca="1">IF(ISNA(VLOOKUP($B34,INDIRECT("'"&amp;AC$2&amp;"'!$B$3:$E$72"),4,FALSE)),"",VLOOKUP($B34,INDIRECT("'"&amp;AC$2&amp;"'!$B$3:$E$72"),4,FALSE))</f>
        <v>18</v>
      </c>
      <c r="AD34" s="5">
        <f>IF(AC34="","",AC34+Z34)</f>
        <v>327</v>
      </c>
      <c r="AE34" s="5">
        <f ca="1">IF(AD34="","",RANK(AD34,INDIRECT("AD"&amp;VLOOKUP($A34,$BA$1:$BC$3,2,FALSE)&amp;":AD"&amp;VLOOKUP($A34,$BA$1:$BC$3,3,FALSE)),1))</f>
        <v>35</v>
      </c>
      <c r="AF34" s="6">
        <f>IF(AC34="","",RANK(AD34,AD$4:AD$100,1))</f>
        <v>51</v>
      </c>
      <c r="AG34" s="4">
        <f ca="1">IF(ISNA(VLOOKUP($B34,INDIRECT("'"&amp;AG$2&amp;"'!$B$3:$E$72"),4,FALSE)),"",VLOOKUP($B34,INDIRECT("'"&amp;AG$2&amp;"'!$B$3:$E$72"),4,FALSE))</f>
        <v>27</v>
      </c>
      <c r="AH34" s="5">
        <f>IF(AG34="","",AG34+AD34)</f>
        <v>354</v>
      </c>
      <c r="AI34" s="5">
        <f ca="1">IF(AH34="","",RANK(AH34,INDIRECT("AH"&amp;VLOOKUP($A34,$BA$1:$BC$3,2,FALSE)&amp;":AH"&amp;VLOOKUP($A34,$BA$1:$BC$3,3,FALSE)),1))</f>
        <v>33</v>
      </c>
      <c r="AJ34" s="6">
        <f>IF(AG34="","",RANK(AH34,AH$4:AH$100,1))</f>
        <v>49</v>
      </c>
      <c r="AK34" s="4">
        <f ca="1">IF(ISNA(VLOOKUP($B34,INDIRECT("'"&amp;AK$2&amp;"'!$B$3:$E$72"),4,FALSE)),"",VLOOKUP($B34,INDIRECT("'"&amp;AK$2&amp;"'!$B$3:$E$72"),4,FALSE))</f>
        <v>32</v>
      </c>
      <c r="AL34" s="5">
        <f>IF(AK34="","",AK34+AH34)</f>
        <v>386</v>
      </c>
      <c r="AM34" s="5">
        <f ca="1">IF(AL34="","",RANK(AL34,INDIRECT("AL"&amp;VLOOKUP($A34,$BA$1:$BC$3,2,FALSE)&amp;":AL"&amp;VLOOKUP($A34,$BA$1:$BC$3,3,FALSE)),1))</f>
        <v>31</v>
      </c>
      <c r="AN34" s="6">
        <f>IF(AK34="","",RANK(AL34,AL$4:AL$100,1))</f>
        <v>46</v>
      </c>
      <c r="AO34" s="4">
        <f ca="1">IF(ISNA(VLOOKUP($B34,INDIRECT("'"&amp;AO$2&amp;"'!$B$3:$E$72"),4,FALSE)),"",VLOOKUP($B34,INDIRECT("'"&amp;AO$2&amp;"'!$B$3:$E$72"),4,FALSE))</f>
        <v>16</v>
      </c>
      <c r="AP34" s="5">
        <f>IF(AO34="","",AO34+AL34)</f>
        <v>402</v>
      </c>
      <c r="AQ34" s="5">
        <f ca="1">IF(AP34="","",RANK(AP34,INDIRECT("AP"&amp;VLOOKUP($A34,$BA$1:$BC$3,2,FALSE)&amp;":AP"&amp;VLOOKUP($A34,$BA$1:$BC$3,3,FALSE)),1))</f>
        <v>31</v>
      </c>
      <c r="AR34" s="6">
        <f>IF(AO34="","",RANK(AP34,AP$4:AP$100,1))</f>
        <v>45</v>
      </c>
      <c r="AT34" s="4">
        <f>SUM(G34,I34,M34,Q34,U34,Y34,AC34,AG34,AK34,AO34)</f>
        <v>402</v>
      </c>
      <c r="AU34" s="5">
        <f ca="1">RANK(AT34,INDIRECT("AT"&amp;VLOOKUP($A34,$BA$1:$BC$3,2,FALSE)&amp;":AT"&amp;VLOOKUP($A34,$BA$1:$BC$3,3,FALSE)),1)</f>
        <v>31</v>
      </c>
      <c r="AV34" s="5">
        <f>RANK(AT34,$AT$4:$AT$100,1)</f>
        <v>45</v>
      </c>
      <c r="AW34" s="4">
        <f>MIN(G34,I34,M34,Q34,U34,Y34,AC34,AG34,AK34,AO34)</f>
        <v>11</v>
      </c>
      <c r="AX34" s="5">
        <f>MAX(G34,I34,M34,Q34,U34,Y34,AC34,AG34,AK34,AO34)</f>
        <v>100</v>
      </c>
      <c r="AY34" s="6">
        <f>MEDIAN(G34,I34,M34,Q34,U34,Y34,AC34,AG34,AK34,AO34)</f>
        <v>29.5</v>
      </c>
    </row>
    <row r="35" spans="1:51" ht="15.75">
      <c r="A35" s="14" t="s">
        <v>3</v>
      </c>
      <c r="B35" s="41">
        <v>3</v>
      </c>
      <c r="C35" s="40" t="str">
        <f>IF(ISBLANK(B35),"",VLOOKUP(B35,Entries!$A$4:$C$65,3,FALSE))</f>
        <v>Tiptree A</v>
      </c>
      <c r="D35" s="4">
        <f>IF(AT35=0,"",AT35)</f>
        <v>424</v>
      </c>
      <c r="E35" s="5">
        <f ca="1">IF(OR(ISBLANK(D35),D35=0,D35=""),"",RANK(D35,INDIRECT("D"&amp;VLOOKUP($A35,$BA$1:$BC$3,2,FALSE)&amp;":D"&amp;VLOOKUP($A35,$BA$1:$BC$3,3,FALSE)),1))</f>
        <v>32</v>
      </c>
      <c r="F35" s="5">
        <f>IF(OR(ISBLANK(D35),D35=0,D35=""),"",RANK(D35,$D$4:$D$100,1))</f>
        <v>47</v>
      </c>
      <c r="G35" s="4">
        <f ca="1">IF(ISNA(VLOOKUP($B35,INDIRECT("'"&amp;G$2&amp;"'!$B$3:$E$72"),4,FALSE)),"",VLOOKUP($B35,INDIRECT("'"&amp;G$2&amp;"'!$B$3:$E$72"),4,FALSE))</f>
        <v>55</v>
      </c>
      <c r="H35" s="5">
        <f ca="1">IF(G35="","",RANK(G35,INDIRECT("G"&amp;VLOOKUP($A35,$BA$1:$BC$3,2,FALSE)&amp;":G"&amp;VLOOKUP($A35,$BA$1:$BC$3,3,FALSE)),1))</f>
        <v>36</v>
      </c>
      <c r="I35" s="4">
        <f ca="1">IF(ISNA(VLOOKUP($B35,INDIRECT("'"&amp;I$2&amp;"'!$B$3:$E$72"),4,FALSE)),"",VLOOKUP($B35,INDIRECT("'"&amp;I$2&amp;"'!$B$3:$E$72"),4,FALSE))</f>
        <v>43</v>
      </c>
      <c r="J35" s="5">
        <f>IF(I35="","",G35+I35)</f>
        <v>98</v>
      </c>
      <c r="K35" s="5">
        <f ca="1">IF(J35="","",RANK(J35,INDIRECT("J"&amp;VLOOKUP($A35,$BA$1:$BC$3,2,FALSE)&amp;":J"&amp;VLOOKUP($A35,$BA$1:$BC$3,3,FALSE)),1))</f>
        <v>33</v>
      </c>
      <c r="L35" s="6">
        <f>IF(I35="","",RANK(J35,J$4:J$100,1))</f>
        <v>49</v>
      </c>
      <c r="M35" s="4">
        <f ca="1">IF(ISNA(VLOOKUP($B35,INDIRECT("'"&amp;M$2&amp;"'!$B$3:$E$72"),4,FALSE)),"",VLOOKUP($B35,INDIRECT("'"&amp;M$2&amp;"'!$B$3:$E$72"),4,FALSE))</f>
        <v>56</v>
      </c>
      <c r="N35" s="5">
        <f>IF(M35="","",M35+J35)</f>
        <v>154</v>
      </c>
      <c r="O35" s="5">
        <f ca="1">IF(N35="","",RANK(N35,INDIRECT("N"&amp;VLOOKUP($A35,$BA$1:$BC$3,2,FALSE)&amp;":N"&amp;VLOOKUP($A35,$BA$1:$BC$3,3,FALSE)),1))</f>
        <v>35</v>
      </c>
      <c r="P35" s="6">
        <f>IF(M35="","",RANK(N35,N$4:N$100,1))</f>
        <v>54</v>
      </c>
      <c r="Q35" s="4">
        <f ca="1">IF(ISNA(VLOOKUP($B35,INDIRECT("'"&amp;Q$2&amp;"'!$B$3:$E$72"),4,FALSE)),"",VLOOKUP($B35,INDIRECT("'"&amp;Q$2&amp;"'!$B$3:$E$72"),4,FALSE))</f>
        <v>23</v>
      </c>
      <c r="R35" s="5">
        <f>IF(Q35="","",Q35+N35)</f>
        <v>177</v>
      </c>
      <c r="S35" s="5">
        <f ca="1">IF(R35="","",RANK(R35,INDIRECT("R"&amp;VLOOKUP($A35,$BA$1:$BC$3,2,FALSE)&amp;":R"&amp;VLOOKUP($A35,$BA$1:$BC$3,3,FALSE)),1))</f>
        <v>30</v>
      </c>
      <c r="T35" s="6">
        <f>IF(Q35="","",RANK(R35,R$4:R$100,1))</f>
        <v>44</v>
      </c>
      <c r="U35" s="4">
        <f ca="1">IF(ISNA(VLOOKUP($B35,INDIRECT("'"&amp;U$2&amp;"'!$B$3:$E$72"),4,FALSE)),"",VLOOKUP($B35,INDIRECT("'"&amp;U$2&amp;"'!$B$3:$E$72"),4,FALSE))</f>
        <v>57</v>
      </c>
      <c r="V35" s="5">
        <f>IF(U35="","",U35+R35)</f>
        <v>234</v>
      </c>
      <c r="W35" s="5">
        <f ca="1">IF(V35="","",RANK(V35,INDIRECT("V"&amp;VLOOKUP($A35,$BA$1:$BC$3,2,FALSE)&amp;":V"&amp;VLOOKUP($A35,$BA$1:$BC$3,3,FALSE)),1))</f>
        <v>33</v>
      </c>
      <c r="X35" s="6">
        <f>IF(U35="","",RANK(V35,V$4:V$100,1))</f>
        <v>50</v>
      </c>
      <c r="Y35" s="4">
        <f ca="1">IF(ISNA(VLOOKUP($B35,INDIRECT("'"&amp;Y$2&amp;"'!$B$3:$E$72"),4,FALSE)),"",VLOOKUP($B35,INDIRECT("'"&amp;Y$2&amp;"'!$B$3:$E$72"),4,FALSE))</f>
        <v>36</v>
      </c>
      <c r="Z35" s="5">
        <f>IF(Y35="","",Y35+V35)</f>
        <v>270</v>
      </c>
      <c r="AA35" s="5">
        <f ca="1">IF(Z35="","",RANK(Z35,INDIRECT("Z"&amp;VLOOKUP($A35,$BA$1:$BC$3,2,FALSE)&amp;":Z"&amp;VLOOKUP($A35,$BA$1:$BC$3,3,FALSE)),1))</f>
        <v>32</v>
      </c>
      <c r="AB35" s="6">
        <f>IF(Y35="","",RANK(Z35,Z$4:Z$100,1))</f>
        <v>48</v>
      </c>
      <c r="AC35" s="4">
        <f ca="1">IF(ISNA(VLOOKUP($B35,INDIRECT("'"&amp;AC$2&amp;"'!$B$3:$E$72"),4,FALSE)),"",VLOOKUP($B35,INDIRECT("'"&amp;AC$2&amp;"'!$B$3:$E$72"),4,FALSE))</f>
        <v>22</v>
      </c>
      <c r="AD35" s="5">
        <f>IF(AC35="","",AC35+Z35)</f>
        <v>292</v>
      </c>
      <c r="AE35" s="5">
        <f ca="1">IF(AD35="","",RANK(AD35,INDIRECT("AD"&amp;VLOOKUP($A35,$BA$1:$BC$3,2,FALSE)&amp;":AD"&amp;VLOOKUP($A35,$BA$1:$BC$3,3,FALSE)),1))</f>
        <v>31</v>
      </c>
      <c r="AF35" s="6">
        <f>IF(AC35="","",RANK(AD35,AD$4:AD$100,1))</f>
        <v>46</v>
      </c>
      <c r="AG35" s="4">
        <f ca="1">IF(ISNA(VLOOKUP($B35,INDIRECT("'"&amp;AG$2&amp;"'!$B$3:$E$72"),4,FALSE)),"",VLOOKUP($B35,INDIRECT("'"&amp;AG$2&amp;"'!$B$3:$E$72"),4,FALSE))</f>
        <v>54</v>
      </c>
      <c r="AH35" s="5">
        <f>IF(AG35="","",AG35+AD35)</f>
        <v>346</v>
      </c>
      <c r="AI35" s="5">
        <f ca="1">IF(AH35="","",RANK(AH35,INDIRECT("AH"&amp;VLOOKUP($A35,$BA$1:$BC$3,2,FALSE)&amp;":AH"&amp;VLOOKUP($A35,$BA$1:$BC$3,3,FALSE)),1))</f>
        <v>31</v>
      </c>
      <c r="AJ35" s="6">
        <f>IF(AG35="","",RANK(AH35,AH$4:AH$100,1))</f>
        <v>46</v>
      </c>
      <c r="AK35" s="4">
        <f ca="1">IF(ISNA(VLOOKUP($B35,INDIRECT("'"&amp;AK$2&amp;"'!$B$3:$E$72"),4,FALSE)),"",VLOOKUP($B35,INDIRECT("'"&amp;AK$2&amp;"'!$B$3:$E$72"),4,FALSE))</f>
        <v>59</v>
      </c>
      <c r="AL35" s="5">
        <f>IF(AK35="","",AK35+AH35)</f>
        <v>405</v>
      </c>
      <c r="AM35" s="5">
        <f ca="1">IF(AL35="","",RANK(AL35,INDIRECT("AL"&amp;VLOOKUP($A35,$BA$1:$BC$3,2,FALSE)&amp;":AL"&amp;VLOOKUP($A35,$BA$1:$BC$3,3,FALSE)),1))</f>
        <v>34</v>
      </c>
      <c r="AN35" s="6">
        <f>IF(AK35="","",RANK(AL35,AL$4:AL$100,1))</f>
        <v>50</v>
      </c>
      <c r="AO35" s="4">
        <f ca="1">IF(ISNA(VLOOKUP($B35,INDIRECT("'"&amp;AO$2&amp;"'!$B$3:$E$72"),4,FALSE)),"",VLOOKUP($B35,INDIRECT("'"&amp;AO$2&amp;"'!$B$3:$E$72"),4,FALSE))</f>
        <v>19</v>
      </c>
      <c r="AP35" s="5">
        <f>IF(AO35="","",AO35+AL35)</f>
        <v>424</v>
      </c>
      <c r="AQ35" s="5">
        <f ca="1">IF(AP35="","",RANK(AP35,INDIRECT("AP"&amp;VLOOKUP($A35,$BA$1:$BC$3,2,FALSE)&amp;":AP"&amp;VLOOKUP($A35,$BA$1:$BC$3,3,FALSE)),1))</f>
        <v>32</v>
      </c>
      <c r="AR35" s="6">
        <f>IF(AO35="","",RANK(AP35,AP$4:AP$100,1))</f>
        <v>47</v>
      </c>
      <c r="AT35" s="4">
        <f>SUM(G35,I35,M35,Q35,U35,Y35,AC35,AG35,AK35,AO35)</f>
        <v>424</v>
      </c>
      <c r="AU35" s="5">
        <f ca="1">RANK(AT35,INDIRECT("AT"&amp;VLOOKUP($A35,$BA$1:$BC$3,2,FALSE)&amp;":AT"&amp;VLOOKUP($A35,$BA$1:$BC$3,3,FALSE)),1)</f>
        <v>32</v>
      </c>
      <c r="AV35" s="5">
        <f>RANK(AT35,$AT$4:$AT$100,1)</f>
        <v>47</v>
      </c>
      <c r="AW35" s="4">
        <f>MIN(G35,I35,M35,Q35,U35,Y35,AC35,AG35,AK35,AO35)</f>
        <v>19</v>
      </c>
      <c r="AX35" s="5">
        <f>MAX(G35,I35,M35,Q35,U35,Y35,AC35,AG35,AK35,AO35)</f>
        <v>59</v>
      </c>
      <c r="AY35" s="6">
        <f>MEDIAN(G35,I35,M35,Q35,U35,Y35,AC35,AG35,AK35,AO35)</f>
        <v>48.5</v>
      </c>
    </row>
    <row r="36" spans="1:51" ht="15.75">
      <c r="A36" s="14" t="s">
        <v>3</v>
      </c>
      <c r="B36" s="41">
        <v>20</v>
      </c>
      <c r="C36" s="40" t="str">
        <f>IF(ISBLANK(B36),"",VLOOKUP(B36,Entries!$A$4:$C$65,3,FALSE))</f>
        <v>BSRC</v>
      </c>
      <c r="D36" s="4">
        <f>IF(AT36=0,"",AT36)</f>
        <v>447</v>
      </c>
      <c r="E36" s="5">
        <f ca="1">IF(OR(ISBLANK(D36),D36=0,D36=""),"",RANK(D36,INDIRECT("D"&amp;VLOOKUP($A36,$BA$1:$BC$3,2,FALSE)&amp;":D"&amp;VLOOKUP($A36,$BA$1:$BC$3,3,FALSE)),1))</f>
        <v>33</v>
      </c>
      <c r="F36" s="5">
        <f>IF(OR(ISBLANK(D36),D36=0,D36=""),"",RANK(D36,$D$4:$D$100,1))</f>
        <v>48</v>
      </c>
      <c r="G36" s="4">
        <f ca="1">IF(ISNA(VLOOKUP($B36,INDIRECT("'"&amp;G$2&amp;"'!$B$3:$E$72"),4,FALSE)),"",VLOOKUP($B36,INDIRECT("'"&amp;G$2&amp;"'!$B$3:$E$72"),4,FALSE))</f>
        <v>37</v>
      </c>
      <c r="H36" s="5">
        <f ca="1">IF(G36="","",RANK(G36,INDIRECT("G"&amp;VLOOKUP($A36,$BA$1:$BC$3,2,FALSE)&amp;":G"&amp;VLOOKUP($A36,$BA$1:$BC$3,3,FALSE)),1))</f>
        <v>28</v>
      </c>
      <c r="I36" s="4">
        <f ca="1">IF(ISNA(VLOOKUP($B36,INDIRECT("'"&amp;I$2&amp;"'!$B$3:$E$72"),4,FALSE)),"",VLOOKUP($B36,INDIRECT("'"&amp;I$2&amp;"'!$B$3:$E$72"),4,FALSE))</f>
        <v>48</v>
      </c>
      <c r="J36" s="5">
        <f>IF(I36="","",G36+I36)</f>
        <v>85</v>
      </c>
      <c r="K36" s="5">
        <f ca="1">IF(J36="","",RANK(J36,INDIRECT("J"&amp;VLOOKUP($A36,$BA$1:$BC$3,2,FALSE)&amp;":J"&amp;VLOOKUP($A36,$BA$1:$BC$3,3,FALSE)),1))</f>
        <v>28</v>
      </c>
      <c r="L36" s="6">
        <f>IF(I36="","",RANK(J36,J$4:J$100,1))</f>
        <v>42</v>
      </c>
      <c r="M36" s="4">
        <f ca="1">IF(ISNA(VLOOKUP($B36,INDIRECT("'"&amp;M$2&amp;"'!$B$3:$E$72"),4,FALSE)),"",VLOOKUP($B36,INDIRECT("'"&amp;M$2&amp;"'!$B$3:$E$72"),4,FALSE))</f>
        <v>28</v>
      </c>
      <c r="N36" s="5">
        <f>IF(M36="","",M36+J36)</f>
        <v>113</v>
      </c>
      <c r="O36" s="5">
        <f ca="1">IF(N36="","",RANK(N36,INDIRECT("N"&amp;VLOOKUP($A36,$BA$1:$BC$3,2,FALSE)&amp;":N"&amp;VLOOKUP($A36,$BA$1:$BC$3,3,FALSE)),1))</f>
        <v>27</v>
      </c>
      <c r="P36" s="6">
        <f>IF(M36="","",RANK(N36,N$4:N$100,1))</f>
        <v>39</v>
      </c>
      <c r="Q36" s="4">
        <f ca="1">IF(ISNA(VLOOKUP($B36,INDIRECT("'"&amp;Q$2&amp;"'!$B$3:$E$72"),4,FALSE)),"",VLOOKUP($B36,INDIRECT("'"&amp;Q$2&amp;"'!$B$3:$E$72"),4,FALSE))</f>
        <v>46</v>
      </c>
      <c r="R36" s="5">
        <f>IF(Q36="","",Q36+N36)</f>
        <v>159</v>
      </c>
      <c r="S36" s="5">
        <f ca="1">IF(R36="","",RANK(R36,INDIRECT("R"&amp;VLOOKUP($A36,$BA$1:$BC$3,2,FALSE)&amp;":R"&amp;VLOOKUP($A36,$BA$1:$BC$3,3,FALSE)),1))</f>
        <v>27</v>
      </c>
      <c r="T36" s="6">
        <f>IF(Q36="","",RANK(R36,R$4:R$100,1))</f>
        <v>40</v>
      </c>
      <c r="U36" s="4">
        <f ca="1">IF(ISNA(VLOOKUP($B36,INDIRECT("'"&amp;U$2&amp;"'!$B$3:$E$72"),4,FALSE)),"",VLOOKUP($B36,INDIRECT("'"&amp;U$2&amp;"'!$B$3:$E$72"),4,FALSE))</f>
        <v>52</v>
      </c>
      <c r="V36" s="5">
        <f>IF(U36="","",U36+R36)</f>
        <v>211</v>
      </c>
      <c r="W36" s="5">
        <f ca="1">IF(V36="","",RANK(V36,INDIRECT("V"&amp;VLOOKUP($A36,$BA$1:$BC$3,2,FALSE)&amp;":V"&amp;VLOOKUP($A36,$BA$1:$BC$3,3,FALSE)),1))</f>
        <v>31</v>
      </c>
      <c r="X36" s="6">
        <f>IF(U36="","",RANK(V36,V$4:V$100,1))</f>
        <v>46</v>
      </c>
      <c r="Y36" s="4">
        <f ca="1">IF(ISNA(VLOOKUP($B36,INDIRECT("'"&amp;Y$2&amp;"'!$B$3:$E$72"),4,FALSE)),"",VLOOKUP($B36,INDIRECT("'"&amp;Y$2&amp;"'!$B$3:$E$72"),4,FALSE))</f>
        <v>44</v>
      </c>
      <c r="Z36" s="5">
        <f>IF(Y36="","",Y36+V36)</f>
        <v>255</v>
      </c>
      <c r="AA36" s="5">
        <f ca="1">IF(Z36="","",RANK(Z36,INDIRECT("Z"&amp;VLOOKUP($A36,$BA$1:$BC$3,2,FALSE)&amp;":Z"&amp;VLOOKUP($A36,$BA$1:$BC$3,3,FALSE)),1))</f>
        <v>30</v>
      </c>
      <c r="AB36" s="6">
        <f>IF(Y36="","",RANK(Z36,Z$4:Z$100,1))</f>
        <v>46</v>
      </c>
      <c r="AC36" s="4">
        <f ca="1">IF(ISNA(VLOOKUP($B36,INDIRECT("'"&amp;AC$2&amp;"'!$B$3:$E$72"),4,FALSE)),"",VLOOKUP($B36,INDIRECT("'"&amp;AC$2&amp;"'!$B$3:$E$72"),4,FALSE))</f>
        <v>43</v>
      </c>
      <c r="AD36" s="5">
        <f>IF(AC36="","",AC36+Z36)</f>
        <v>298</v>
      </c>
      <c r="AE36" s="5">
        <f ca="1">IF(AD36="","",RANK(AD36,INDIRECT("AD"&amp;VLOOKUP($A36,$BA$1:$BC$3,2,FALSE)&amp;":AD"&amp;VLOOKUP($A36,$BA$1:$BC$3,3,FALSE)),1))</f>
        <v>32</v>
      </c>
      <c r="AF36" s="6">
        <f>IF(AC36="","",RANK(AD36,AD$4:AD$100,1))</f>
        <v>47</v>
      </c>
      <c r="AG36" s="4">
        <f ca="1">IF(ISNA(VLOOKUP($B36,INDIRECT("'"&amp;AG$2&amp;"'!$B$3:$E$72"),4,FALSE)),"",VLOOKUP($B36,INDIRECT("'"&amp;AG$2&amp;"'!$B$3:$E$72"),4,FALSE))</f>
        <v>47</v>
      </c>
      <c r="AH36" s="5">
        <f>IF(AG36="","",AG36+AD36)</f>
        <v>345</v>
      </c>
      <c r="AI36" s="5">
        <f ca="1">IF(AH36="","",RANK(AH36,INDIRECT("AH"&amp;VLOOKUP($A36,$BA$1:$BC$3,2,FALSE)&amp;":AH"&amp;VLOOKUP($A36,$BA$1:$BC$3,3,FALSE)),1))</f>
        <v>30</v>
      </c>
      <c r="AJ36" s="6">
        <f>IF(AG36="","",RANK(AH36,AH$4:AH$100,1))</f>
        <v>45</v>
      </c>
      <c r="AK36" s="4">
        <f ca="1">IF(ISNA(VLOOKUP($B36,INDIRECT("'"&amp;AK$2&amp;"'!$B$3:$E$72"),4,FALSE)),"",VLOOKUP($B36,INDIRECT("'"&amp;AK$2&amp;"'!$B$3:$E$72"),4,FALSE))</f>
        <v>57</v>
      </c>
      <c r="AL36" s="5">
        <f>IF(AK36="","",AK36+AH36)</f>
        <v>402</v>
      </c>
      <c r="AM36" s="5">
        <f ca="1">IF(AL36="","",RANK(AL36,INDIRECT("AL"&amp;VLOOKUP($A36,$BA$1:$BC$3,2,FALSE)&amp;":AL"&amp;VLOOKUP($A36,$BA$1:$BC$3,3,FALSE)),1))</f>
        <v>32</v>
      </c>
      <c r="AN36" s="6">
        <f>IF(AK36="","",RANK(AL36,AL$4:AL$100,1))</f>
        <v>48</v>
      </c>
      <c r="AO36" s="4">
        <f ca="1">IF(ISNA(VLOOKUP($B36,INDIRECT("'"&amp;AO$2&amp;"'!$B$3:$E$72"),4,FALSE)),"",VLOOKUP($B36,INDIRECT("'"&amp;AO$2&amp;"'!$B$3:$E$72"),4,FALSE))</f>
        <v>45</v>
      </c>
      <c r="AP36" s="5">
        <f>IF(AO36="","",AO36+AL36)</f>
        <v>447</v>
      </c>
      <c r="AQ36" s="5">
        <f ca="1">IF(AP36="","",RANK(AP36,INDIRECT("AP"&amp;VLOOKUP($A36,$BA$1:$BC$3,2,FALSE)&amp;":AP"&amp;VLOOKUP($A36,$BA$1:$BC$3,3,FALSE)),1))</f>
        <v>33</v>
      </c>
      <c r="AR36" s="6">
        <f>IF(AO36="","",RANK(AP36,AP$4:AP$100,1))</f>
        <v>48</v>
      </c>
      <c r="AT36" s="4">
        <f>SUM(G36,I36,M36,Q36,U36,Y36,AC36,AG36,AK36,AO36)</f>
        <v>447</v>
      </c>
      <c r="AU36" s="5">
        <f ca="1">RANK(AT36,INDIRECT("AT"&amp;VLOOKUP($A36,$BA$1:$BC$3,2,FALSE)&amp;":AT"&amp;VLOOKUP($A36,$BA$1:$BC$3,3,FALSE)),1)</f>
        <v>33</v>
      </c>
      <c r="AV36" s="5">
        <f>RANK(AT36,$AT$4:$AT$100,1)</f>
        <v>48</v>
      </c>
      <c r="AW36" s="4">
        <f>MIN(G36,I36,M36,Q36,U36,Y36,AC36,AG36,AK36,AO36)</f>
        <v>28</v>
      </c>
      <c r="AX36" s="5">
        <f>MAX(G36,I36,M36,Q36,U36,Y36,AC36,AG36,AK36,AO36)</f>
        <v>57</v>
      </c>
      <c r="AY36" s="6">
        <f>MEDIAN(G36,I36,M36,Q36,U36,Y36,AC36,AG36,AK36,AO36)</f>
        <v>45.5</v>
      </c>
    </row>
    <row r="37" spans="1:51" ht="15.75">
      <c r="A37" s="14" t="s">
        <v>3</v>
      </c>
      <c r="B37" s="41">
        <v>16</v>
      </c>
      <c r="C37" s="40" t="str">
        <f>IF(ISBLANK(B37),"",VLOOKUP(B37,Entries!$A$4:$C$65,3,FALSE))</f>
        <v>Havering 90 B</v>
      </c>
      <c r="D37" s="4">
        <f>IF(AT37=0,"",AT37)</f>
        <v>461</v>
      </c>
      <c r="E37" s="5">
        <f ca="1">IF(OR(ISBLANK(D37),D37=0,D37=""),"",RANK(D37,INDIRECT("D"&amp;VLOOKUP($A37,$BA$1:$BC$3,2,FALSE)&amp;":D"&amp;VLOOKUP($A37,$BA$1:$BC$3,3,FALSE)),1))</f>
        <v>34</v>
      </c>
      <c r="F37" s="5">
        <f>IF(OR(ISBLANK(D37),D37=0,D37=""),"",RANK(D37,$D$4:$D$100,1))</f>
        <v>50</v>
      </c>
      <c r="G37" s="4">
        <f ca="1">IF(ISNA(VLOOKUP($B37,INDIRECT("'"&amp;G$2&amp;"'!$B$3:$E$72"),4,FALSE)),"",VLOOKUP($B37,INDIRECT("'"&amp;G$2&amp;"'!$B$3:$E$72"),4,FALSE))</f>
        <v>49</v>
      </c>
      <c r="H37" s="5">
        <f ca="1">IF(G37="","",RANK(G37,INDIRECT("G"&amp;VLOOKUP($A37,$BA$1:$BC$3,2,FALSE)&amp;":G"&amp;VLOOKUP($A37,$BA$1:$BC$3,3,FALSE)),1))</f>
        <v>32</v>
      </c>
      <c r="I37" s="4">
        <f ca="1">IF(ISNA(VLOOKUP($B37,INDIRECT("'"&amp;I$2&amp;"'!$B$3:$E$72"),4,FALSE)),"",VLOOKUP($B37,INDIRECT("'"&amp;I$2&amp;"'!$B$3:$E$72"),4,FALSE))</f>
        <v>39</v>
      </c>
      <c r="J37" s="5">
        <f>IF(I37="","",G37+I37)</f>
        <v>88</v>
      </c>
      <c r="K37" s="5">
        <f ca="1">IF(J37="","",RANK(J37,INDIRECT("J"&amp;VLOOKUP($A37,$BA$1:$BC$3,2,FALSE)&amp;":J"&amp;VLOOKUP($A37,$BA$1:$BC$3,3,FALSE)),1))</f>
        <v>29</v>
      </c>
      <c r="L37" s="6">
        <f>IF(I37="","",RANK(J37,J$4:J$100,1))</f>
        <v>43</v>
      </c>
      <c r="M37" s="4">
        <f ca="1">IF(ISNA(VLOOKUP($B37,INDIRECT("'"&amp;M$2&amp;"'!$B$3:$E$72"),4,FALSE)),"",VLOOKUP($B37,INDIRECT("'"&amp;M$2&amp;"'!$B$3:$E$72"),4,FALSE))</f>
        <v>46</v>
      </c>
      <c r="N37" s="5">
        <f>IF(M37="","",M37+J37)</f>
        <v>134</v>
      </c>
      <c r="O37" s="5">
        <f ca="1">IF(N37="","",RANK(N37,INDIRECT("N"&amp;VLOOKUP($A37,$BA$1:$BC$3,2,FALSE)&amp;":N"&amp;VLOOKUP($A37,$BA$1:$BC$3,3,FALSE)),1))</f>
        <v>30</v>
      </c>
      <c r="P37" s="6">
        <f>IF(M37="","",RANK(N37,N$4:N$100,1))</f>
        <v>44</v>
      </c>
      <c r="Q37" s="4">
        <f ca="1">IF(ISNA(VLOOKUP($B37,INDIRECT("'"&amp;Q$2&amp;"'!$B$3:$E$72"),4,FALSE)),"",VLOOKUP($B37,INDIRECT("'"&amp;Q$2&amp;"'!$B$3:$E$72"),4,FALSE))</f>
        <v>49</v>
      </c>
      <c r="R37" s="5">
        <f>IF(Q37="","",Q37+N37)</f>
        <v>183</v>
      </c>
      <c r="S37" s="5">
        <f ca="1">IF(R37="","",RANK(R37,INDIRECT("R"&amp;VLOOKUP($A37,$BA$1:$BC$3,2,FALSE)&amp;":R"&amp;VLOOKUP($A37,$BA$1:$BC$3,3,FALSE)),1))</f>
        <v>33</v>
      </c>
      <c r="T37" s="6">
        <f>IF(Q37="","",RANK(R37,R$4:R$100,1))</f>
        <v>49</v>
      </c>
      <c r="U37" s="4">
        <f ca="1">IF(ISNA(VLOOKUP($B37,INDIRECT("'"&amp;U$2&amp;"'!$B$3:$E$72"),4,FALSE)),"",VLOOKUP($B37,INDIRECT("'"&amp;U$2&amp;"'!$B$3:$E$72"),4,FALSE))</f>
        <v>56</v>
      </c>
      <c r="V37" s="5">
        <f>IF(U37="","",U37+R37)</f>
        <v>239</v>
      </c>
      <c r="W37" s="5">
        <f ca="1">IF(V37="","",RANK(V37,INDIRECT("V"&amp;VLOOKUP($A37,$BA$1:$BC$3,2,FALSE)&amp;":V"&amp;VLOOKUP($A37,$BA$1:$BC$3,3,FALSE)),1))</f>
        <v>34</v>
      </c>
      <c r="X37" s="6">
        <f>IF(U37="","",RANK(V37,V$4:V$100,1))</f>
        <v>51</v>
      </c>
      <c r="Y37" s="4">
        <f ca="1">IF(ISNA(VLOOKUP($B37,INDIRECT("'"&amp;Y$2&amp;"'!$B$3:$E$72"),4,FALSE)),"",VLOOKUP($B37,INDIRECT("'"&amp;Y$2&amp;"'!$B$3:$E$72"),4,FALSE))</f>
        <v>55</v>
      </c>
      <c r="Z37" s="5">
        <f>IF(Y37="","",Y37+V37)</f>
        <v>294</v>
      </c>
      <c r="AA37" s="5">
        <f ca="1">IF(Z37="","",RANK(Z37,INDIRECT("Z"&amp;VLOOKUP($A37,$BA$1:$BC$3,2,FALSE)&amp;":Z"&amp;VLOOKUP($A37,$BA$1:$BC$3,3,FALSE)),1))</f>
        <v>34</v>
      </c>
      <c r="AB37" s="6">
        <f>IF(Y37="","",RANK(Z37,Z$4:Z$100,1))</f>
        <v>51</v>
      </c>
      <c r="AC37" s="4">
        <f ca="1">IF(ISNA(VLOOKUP($B37,INDIRECT("'"&amp;AC$2&amp;"'!$B$3:$E$72"),4,FALSE)),"",VLOOKUP($B37,INDIRECT("'"&amp;AC$2&amp;"'!$B$3:$E$72"),4,FALSE))</f>
        <v>27</v>
      </c>
      <c r="AD37" s="5">
        <f>IF(AC37="","",AC37+Z37)</f>
        <v>321</v>
      </c>
      <c r="AE37" s="5">
        <f ca="1">IF(AD37="","",RANK(AD37,INDIRECT("AD"&amp;VLOOKUP($A37,$BA$1:$BC$3,2,FALSE)&amp;":AD"&amp;VLOOKUP($A37,$BA$1:$BC$3,3,FALSE)),1))</f>
        <v>33</v>
      </c>
      <c r="AF37" s="6">
        <f>IF(AC37="","",RANK(AD37,AD$4:AD$100,1))</f>
        <v>49</v>
      </c>
      <c r="AG37" s="4">
        <f ca="1">IF(ISNA(VLOOKUP($B37,INDIRECT("'"&amp;AG$2&amp;"'!$B$3:$E$72"),4,FALSE)),"",VLOOKUP($B37,INDIRECT("'"&amp;AG$2&amp;"'!$B$3:$E$72"),4,FALSE))</f>
        <v>49</v>
      </c>
      <c r="AH37" s="5">
        <f>IF(AG37="","",AG37+AD37)</f>
        <v>370</v>
      </c>
      <c r="AI37" s="5">
        <f ca="1">IF(AH37="","",RANK(AH37,INDIRECT("AH"&amp;VLOOKUP($A37,$BA$1:$BC$3,2,FALSE)&amp;":AH"&amp;VLOOKUP($A37,$BA$1:$BC$3,3,FALSE)),1))</f>
        <v>34</v>
      </c>
      <c r="AJ37" s="6">
        <f>IF(AG37="","",RANK(AH37,AH$4:AH$100,1))</f>
        <v>50</v>
      </c>
      <c r="AK37" s="4">
        <f ca="1">IF(ISNA(VLOOKUP($B37,INDIRECT("'"&amp;AK$2&amp;"'!$B$3:$E$72"),4,FALSE)),"",VLOOKUP($B37,INDIRECT("'"&amp;AK$2&amp;"'!$B$3:$E$72"),4,FALSE))</f>
        <v>34</v>
      </c>
      <c r="AL37" s="5">
        <f>IF(AK37="","",AK37+AH37)</f>
        <v>404</v>
      </c>
      <c r="AM37" s="5">
        <f ca="1">IF(AL37="","",RANK(AL37,INDIRECT("AL"&amp;VLOOKUP($A37,$BA$1:$BC$3,2,FALSE)&amp;":AL"&amp;VLOOKUP($A37,$BA$1:$BC$3,3,FALSE)),1))</f>
        <v>33</v>
      </c>
      <c r="AN37" s="6">
        <f>IF(AK37="","",RANK(AL37,AL$4:AL$100,1))</f>
        <v>49</v>
      </c>
      <c r="AO37" s="4">
        <f ca="1">IF(ISNA(VLOOKUP($B37,INDIRECT("'"&amp;AO$2&amp;"'!$B$3:$E$72"),4,FALSE)),"",VLOOKUP($B37,INDIRECT("'"&amp;AO$2&amp;"'!$B$3:$E$72"),4,FALSE))</f>
        <v>57</v>
      </c>
      <c r="AP37" s="5">
        <f>IF(AO37="","",AO37+AL37)</f>
        <v>461</v>
      </c>
      <c r="AQ37" s="5">
        <f ca="1">IF(AP37="","",RANK(AP37,INDIRECT("AP"&amp;VLOOKUP($A37,$BA$1:$BC$3,2,FALSE)&amp;":AP"&amp;VLOOKUP($A37,$BA$1:$BC$3,3,FALSE)),1))</f>
        <v>34</v>
      </c>
      <c r="AR37" s="6">
        <f>IF(AO37="","",RANK(AP37,AP$4:AP$100,1))</f>
        <v>50</v>
      </c>
      <c r="AT37" s="4">
        <f>SUM(G37,I37,M37,Q37,U37,Y37,AC37,AG37,AK37,AO37)</f>
        <v>461</v>
      </c>
      <c r="AU37" s="5">
        <f ca="1">RANK(AT37,INDIRECT("AT"&amp;VLOOKUP($A37,$BA$1:$BC$3,2,FALSE)&amp;":AT"&amp;VLOOKUP($A37,$BA$1:$BC$3,3,FALSE)),1)</f>
        <v>34</v>
      </c>
      <c r="AV37" s="5">
        <f>RANK(AT37,$AT$4:$AT$100,1)</f>
        <v>50</v>
      </c>
      <c r="AW37" s="4">
        <f>MIN(G37,I37,M37,Q37,U37,Y37,AC37,AG37,AK37,AO37)</f>
        <v>27</v>
      </c>
      <c r="AX37" s="5">
        <f>MAX(G37,I37,M37,Q37,U37,Y37,AC37,AG37,AK37,AO37)</f>
        <v>57</v>
      </c>
      <c r="AY37" s="6">
        <f>MEDIAN(G37,I37,M37,Q37,U37,Y37,AC37,AG37,AK37,AO37)</f>
        <v>49</v>
      </c>
    </row>
    <row r="38" spans="1:51" ht="15.75">
      <c r="A38" s="14" t="s">
        <v>3</v>
      </c>
      <c r="B38" s="14">
        <v>38</v>
      </c>
      <c r="C38" s="40" t="str">
        <f>IF(ISBLANK(B38),"",VLOOKUP(B38,Entries!$A$4:$C$65,3,FALSE))</f>
        <v>Springfield Striders Mixed C</v>
      </c>
      <c r="D38" s="4">
        <f>IF(AT38=0,"",AT38)</f>
        <v>474</v>
      </c>
      <c r="E38" s="5">
        <f ca="1">IF(OR(ISBLANK(D38),D38=0,D38=""),"",RANK(D38,INDIRECT("D"&amp;VLOOKUP($A38,$BA$1:$BC$3,2,FALSE)&amp;":D"&amp;VLOOKUP($A38,$BA$1:$BC$3,3,FALSE)),1))</f>
        <v>35</v>
      </c>
      <c r="F38" s="5">
        <f>IF(OR(ISBLANK(D38),D38=0,D38=""),"",RANK(D38,$D$4:$D$100,1))</f>
        <v>51</v>
      </c>
      <c r="G38" s="4">
        <f ca="1">IF(ISNA(VLOOKUP($B38,INDIRECT("'"&amp;G$2&amp;"'!$B$3:$E$72"),4,FALSE)),"",VLOOKUP($B38,INDIRECT("'"&amp;G$2&amp;"'!$B$3:$E$72"),4,FALSE))</f>
        <v>15</v>
      </c>
      <c r="H38" s="5">
        <f ca="1">IF(G38="","",RANK(G38,INDIRECT("G"&amp;VLOOKUP($A38,$BA$1:$BC$3,2,FALSE)&amp;":G"&amp;VLOOKUP($A38,$BA$1:$BC$3,3,FALSE)),1))</f>
        <v>14</v>
      </c>
      <c r="I38" s="4">
        <f ca="1">IF(ISNA(VLOOKUP($B38,INDIRECT("'"&amp;I$2&amp;"'!$B$3:$E$72"),4,FALSE)),"",VLOOKUP($B38,INDIRECT("'"&amp;I$2&amp;"'!$B$3:$E$72"),4,FALSE))</f>
        <v>26</v>
      </c>
      <c r="J38" s="5">
        <f>IF(I38="","",G38+I38)</f>
        <v>41</v>
      </c>
      <c r="K38" s="5">
        <f ca="1">IF(J38="","",RANK(J38,INDIRECT("J"&amp;VLOOKUP($A38,$BA$1:$BC$3,2,FALSE)&amp;":J"&amp;VLOOKUP($A38,$BA$1:$BC$3,3,FALSE)),1))</f>
        <v>17</v>
      </c>
      <c r="L38" s="6">
        <f>IF(I38="","",RANK(J38,J$4:J$100,1))</f>
        <v>20</v>
      </c>
      <c r="M38" s="4">
        <f ca="1">IF(ISNA(VLOOKUP($B38,INDIRECT("'"&amp;M$2&amp;"'!$B$3:$E$72"),4,FALSE)),"",VLOOKUP($B38,INDIRECT("'"&amp;M$2&amp;"'!$B$3:$E$72"),4,FALSE))</f>
        <v>41</v>
      </c>
      <c r="N38" s="5">
        <f>IF(M38="","",M38+J38)</f>
        <v>82</v>
      </c>
      <c r="O38" s="5">
        <f ca="1">IF(N38="","",RANK(N38,INDIRECT("N"&amp;VLOOKUP($A38,$BA$1:$BC$3,2,FALSE)&amp;":N"&amp;VLOOKUP($A38,$BA$1:$BC$3,3,FALSE)),1))</f>
        <v>18</v>
      </c>
      <c r="P38" s="6">
        <f>IF(M38="","",RANK(N38,N$4:N$100,1))</f>
        <v>22</v>
      </c>
      <c r="Q38" s="4">
        <f ca="1">IF(ISNA(VLOOKUP($B38,INDIRECT("'"&amp;Q$2&amp;"'!$B$3:$E$72"),4,FALSE)),"",VLOOKUP($B38,INDIRECT("'"&amp;Q$2&amp;"'!$B$3:$E$72"),4,FALSE))</f>
        <v>100</v>
      </c>
      <c r="R38" s="5">
        <f>IF(Q38="","",Q38+N38)</f>
        <v>182</v>
      </c>
      <c r="S38" s="5">
        <f ca="1">IF(R38="","",RANK(R38,INDIRECT("R"&amp;VLOOKUP($A38,$BA$1:$BC$3,2,FALSE)&amp;":R"&amp;VLOOKUP($A38,$BA$1:$BC$3,3,FALSE)),1))</f>
        <v>31</v>
      </c>
      <c r="T38" s="6">
        <f>IF(Q38="","",RANK(R38,R$4:R$100,1))</f>
        <v>47</v>
      </c>
      <c r="U38" s="4">
        <f ca="1">IF(ISNA(VLOOKUP($B38,INDIRECT("'"&amp;U$2&amp;"'!$B$3:$E$72"),4,FALSE)),"",VLOOKUP($B38,INDIRECT("'"&amp;U$2&amp;"'!$B$3:$E$72"),4,FALSE))</f>
        <v>24</v>
      </c>
      <c r="V38" s="5">
        <f>IF(U38="","",U38+R38)</f>
        <v>206</v>
      </c>
      <c r="W38" s="5">
        <f ca="1">IF(V38="","",RANK(V38,INDIRECT("V"&amp;VLOOKUP($A38,$BA$1:$BC$3,2,FALSE)&amp;":V"&amp;VLOOKUP($A38,$BA$1:$BC$3,3,FALSE)),1))</f>
        <v>29</v>
      </c>
      <c r="X38" s="6">
        <f>IF(U38="","",RANK(V38,V$4:V$100,1))</f>
        <v>44</v>
      </c>
      <c r="Y38" s="4">
        <f ca="1">IF(ISNA(VLOOKUP($B38,INDIRECT("'"&amp;Y$2&amp;"'!$B$3:$E$72"),4,FALSE)),"",VLOOKUP($B38,INDIRECT("'"&amp;Y$2&amp;"'!$B$3:$E$72"),4,FALSE))</f>
        <v>38</v>
      </c>
      <c r="Z38" s="5">
        <f>IF(Y38="","",Y38+V38)</f>
        <v>244</v>
      </c>
      <c r="AA38" s="5">
        <f ca="1">IF(Z38="","",RANK(Z38,INDIRECT("Z"&amp;VLOOKUP($A38,$BA$1:$BC$3,2,FALSE)&amp;":Z"&amp;VLOOKUP($A38,$BA$1:$BC$3,3,FALSE)),1))</f>
        <v>29</v>
      </c>
      <c r="AB38" s="6">
        <f>IF(Y38="","",RANK(Z38,Z$4:Z$100,1))</f>
        <v>44</v>
      </c>
      <c r="AC38" s="4">
        <f ca="1">IF(ISNA(VLOOKUP($B38,INDIRECT("'"&amp;AC$2&amp;"'!$B$3:$E$72"),4,FALSE)),"",VLOOKUP($B38,INDIRECT("'"&amp;AC$2&amp;"'!$B$3:$E$72"),4,FALSE))</f>
        <v>33</v>
      </c>
      <c r="AD38" s="5">
        <f>IF(AC38="","",AC38+Z38)</f>
        <v>277</v>
      </c>
      <c r="AE38" s="5">
        <f ca="1">IF(AD38="","",RANK(AD38,INDIRECT("AD"&amp;VLOOKUP($A38,$BA$1:$BC$3,2,FALSE)&amp;":AD"&amp;VLOOKUP($A38,$BA$1:$BC$3,3,FALSE)),1))</f>
        <v>28</v>
      </c>
      <c r="AF38" s="6">
        <f>IF(AC38="","",RANK(AD38,AD$4:AD$100,1))</f>
        <v>41</v>
      </c>
      <c r="AG38" s="4">
        <f ca="1">IF(ISNA(VLOOKUP($B38,INDIRECT("'"&amp;AG$2&amp;"'!$B$3:$E$72"),4,FALSE)),"",VLOOKUP($B38,INDIRECT("'"&amp;AG$2&amp;"'!$B$3:$E$72"),4,FALSE))</f>
        <v>100</v>
      </c>
      <c r="AH38" s="5">
        <f>IF(AG38="","",AG38+AD38)</f>
        <v>377</v>
      </c>
      <c r="AI38" s="5">
        <f ca="1">IF(AH38="","",RANK(AH38,INDIRECT("AH"&amp;VLOOKUP($A38,$BA$1:$BC$3,2,FALSE)&amp;":AH"&amp;VLOOKUP($A38,$BA$1:$BC$3,3,FALSE)),1))</f>
        <v>35</v>
      </c>
      <c r="AJ38" s="6">
        <f>IF(AG38="","",RANK(AH38,AH$4:AH$100,1))</f>
        <v>51</v>
      </c>
      <c r="AK38" s="4">
        <f ca="1">IF(ISNA(VLOOKUP($B38,INDIRECT("'"&amp;AK$2&amp;"'!$B$3:$E$72"),4,FALSE)),"",VLOOKUP($B38,INDIRECT("'"&amp;AK$2&amp;"'!$B$3:$E$72"),4,FALSE))</f>
        <v>55</v>
      </c>
      <c r="AL38" s="5">
        <f>IF(AK38="","",AK38+AH38)</f>
        <v>432</v>
      </c>
      <c r="AM38" s="5">
        <f ca="1">IF(AL38="","",RANK(AL38,INDIRECT("AL"&amp;VLOOKUP($A38,$BA$1:$BC$3,2,FALSE)&amp;":AL"&amp;VLOOKUP($A38,$BA$1:$BC$3,3,FALSE)),1))</f>
        <v>35</v>
      </c>
      <c r="AN38" s="6">
        <f>IF(AK38="","",RANK(AL38,AL$4:AL$100,1))</f>
        <v>51</v>
      </c>
      <c r="AO38" s="4">
        <f ca="1">IF(ISNA(VLOOKUP($B38,INDIRECT("'"&amp;AO$2&amp;"'!$B$3:$E$72"),4,FALSE)),"",VLOOKUP($B38,INDIRECT("'"&amp;AO$2&amp;"'!$B$3:$E$72"),4,FALSE))</f>
        <v>42</v>
      </c>
      <c r="AP38" s="5">
        <f>IF(AO38="","",AO38+AL38)</f>
        <v>474</v>
      </c>
      <c r="AQ38" s="5">
        <f ca="1">IF(AP38="","",RANK(AP38,INDIRECT("AP"&amp;VLOOKUP($A38,$BA$1:$BC$3,2,FALSE)&amp;":AP"&amp;VLOOKUP($A38,$BA$1:$BC$3,3,FALSE)),1))</f>
        <v>35</v>
      </c>
      <c r="AR38" s="6">
        <f>IF(AO38="","",RANK(AP38,AP$4:AP$100,1))</f>
        <v>51</v>
      </c>
      <c r="AT38" s="4">
        <f>SUM(G38,I38,M38,Q38,U38,Y38,AC38,AG38,AK38,AO38)</f>
        <v>474</v>
      </c>
      <c r="AU38" s="5">
        <f ca="1">RANK(AT38,INDIRECT("AT"&amp;VLOOKUP($A38,$BA$1:$BC$3,2,FALSE)&amp;":AT"&amp;VLOOKUP($A38,$BA$1:$BC$3,3,FALSE)),1)</f>
        <v>35</v>
      </c>
      <c r="AV38" s="5">
        <f>RANK(AT38,$AT$4:$AT$100,1)</f>
        <v>51</v>
      </c>
      <c r="AW38" s="4">
        <f>MIN(G38,I38,M38,Q38,U38,Y38,AC38,AG38,AK38,AO38)</f>
        <v>15</v>
      </c>
      <c r="AX38" s="5">
        <f>MAX(G38,I38,M38,Q38,U38,Y38,AC38,AG38,AK38,AO38)</f>
        <v>100</v>
      </c>
      <c r="AY38" s="6">
        <f>MEDIAN(G38,I38,M38,Q38,U38,Y38,AC38,AG38,AK38,AO38)</f>
        <v>39.5</v>
      </c>
    </row>
    <row r="39" spans="1:51" s="58" customFormat="1" ht="15.75">
      <c r="A39" s="14" t="s">
        <v>3</v>
      </c>
      <c r="B39" s="41">
        <v>15</v>
      </c>
      <c r="C39" s="57" t="str">
        <f>IF(ISBLANK(B39),"",VLOOKUP(B39,Entries!$A$4:$C$65,3,FALSE))</f>
        <v>Havering 90 A</v>
      </c>
      <c r="D39" s="4">
        <f>IF(AT39=0,"",AT39)</f>
        <v>495</v>
      </c>
      <c r="E39" s="5">
        <f ca="1">IF(OR(ISBLANK(D39),D39=0,D39=""),"",RANK(D39,INDIRECT("D"&amp;VLOOKUP($A39,$BA$1:$BC$3,2,FALSE)&amp;":D"&amp;VLOOKUP($A39,$BA$1:$BC$3,3,FALSE)),1))</f>
        <v>36</v>
      </c>
      <c r="F39" s="5">
        <f>IF(OR(ISBLANK(D39),D39=0,D39=""),"",RANK(D39,$D$4:$D$100,1))</f>
        <v>53</v>
      </c>
      <c r="G39" s="4">
        <f ca="1">IF(ISNA(VLOOKUP($B39,INDIRECT("'"&amp;G$2&amp;"'!$B$3:$E$72"),4,FALSE)),"",VLOOKUP($B39,INDIRECT("'"&amp;G$2&amp;"'!$B$3:$E$72"),4,FALSE))</f>
        <v>100</v>
      </c>
      <c r="H39" s="5">
        <f ca="1">IF(G39="","",RANK(G39,INDIRECT("G"&amp;VLOOKUP($A39,$BA$1:$BC$3,2,FALSE)&amp;":G"&amp;VLOOKUP($A39,$BA$1:$BC$3,3,FALSE)),1))</f>
        <v>39</v>
      </c>
      <c r="I39" s="4">
        <f ca="1">IF(ISNA(VLOOKUP($B39,INDIRECT("'"&amp;I$2&amp;"'!$B$3:$E$72"),4,FALSE)),"",VLOOKUP($B39,INDIRECT("'"&amp;I$2&amp;"'!$B$3:$E$72"),4,FALSE))</f>
        <v>29</v>
      </c>
      <c r="J39" s="5">
        <f>IF(I39="","",G39+I39)</f>
        <v>129</v>
      </c>
      <c r="K39" s="5">
        <f ca="1">IF(J39="","",RANK(J39,INDIRECT("J"&amp;VLOOKUP($A39,$BA$1:$BC$3,2,FALSE)&amp;":J"&amp;VLOOKUP($A39,$BA$1:$BC$3,3,FALSE)),1))</f>
        <v>40</v>
      </c>
      <c r="L39" s="6">
        <f>IF(I39="","",RANK(J39,J$4:J$100,1))</f>
        <v>59</v>
      </c>
      <c r="M39" s="4">
        <f ca="1">IF(ISNA(VLOOKUP($B39,INDIRECT("'"&amp;M$2&amp;"'!$B$3:$E$72"),4,FALSE)),"",VLOOKUP($B39,INDIRECT("'"&amp;M$2&amp;"'!$B$3:$E$72"),4,FALSE))</f>
        <v>47</v>
      </c>
      <c r="N39" s="5">
        <f>IF(M39="","",M39+J39)</f>
        <v>176</v>
      </c>
      <c r="O39" s="5">
        <f ca="1">IF(N39="","",RANK(N39,INDIRECT("N"&amp;VLOOKUP($A39,$BA$1:$BC$3,2,FALSE)&amp;":N"&amp;VLOOKUP($A39,$BA$1:$BC$3,3,FALSE)),1))</f>
        <v>39</v>
      </c>
      <c r="P39" s="6">
        <f>IF(M39="","",RANK(N39,N$4:N$100,1))</f>
        <v>58</v>
      </c>
      <c r="Q39" s="4">
        <f ca="1">IF(ISNA(VLOOKUP($B39,INDIRECT("'"&amp;Q$2&amp;"'!$B$3:$E$72"),4,FALSE)),"",VLOOKUP($B39,INDIRECT("'"&amp;Q$2&amp;"'!$B$3:$E$72"),4,FALSE))</f>
        <v>50</v>
      </c>
      <c r="R39" s="5">
        <f>IF(Q39="","",Q39+N39)</f>
        <v>226</v>
      </c>
      <c r="S39" s="5">
        <f ca="1">IF(R39="","",RANK(R39,INDIRECT("R"&amp;VLOOKUP($A39,$BA$1:$BC$3,2,FALSE)&amp;":R"&amp;VLOOKUP($A39,$BA$1:$BC$3,3,FALSE)),1))</f>
        <v>37</v>
      </c>
      <c r="T39" s="6">
        <f>IF(Q39="","",RANK(R39,R$4:R$100,1))</f>
        <v>54</v>
      </c>
      <c r="U39" s="4">
        <f ca="1">IF(ISNA(VLOOKUP($B39,INDIRECT("'"&amp;U$2&amp;"'!$B$3:$E$72"),4,FALSE)),"",VLOOKUP($B39,INDIRECT("'"&amp;U$2&amp;"'!$B$3:$E$72"),4,FALSE))</f>
        <v>55</v>
      </c>
      <c r="V39" s="5">
        <f>IF(U39="","",U39+R39)</f>
        <v>281</v>
      </c>
      <c r="W39" s="5">
        <f ca="1">IF(V39="","",RANK(V39,INDIRECT("V"&amp;VLOOKUP($A39,$BA$1:$BC$3,2,FALSE)&amp;":V"&amp;VLOOKUP($A39,$BA$1:$BC$3,3,FALSE)),1))</f>
        <v>37</v>
      </c>
      <c r="X39" s="6">
        <f>IF(U39="","",RANK(V39,V$4:V$100,1))</f>
        <v>54</v>
      </c>
      <c r="Y39" s="4">
        <f ca="1">IF(ISNA(VLOOKUP($B39,INDIRECT("'"&amp;Y$2&amp;"'!$B$3:$E$72"),4,FALSE)),"",VLOOKUP($B39,INDIRECT("'"&amp;Y$2&amp;"'!$B$3:$E$72"),4,FALSE))</f>
        <v>54</v>
      </c>
      <c r="Z39" s="5">
        <f>IF(Y39="","",Y39+V39)</f>
        <v>335</v>
      </c>
      <c r="AA39" s="5">
        <f ca="1">IF(Z39="","",RANK(Z39,INDIRECT("Z"&amp;VLOOKUP($A39,$BA$1:$BC$3,2,FALSE)&amp;":Z"&amp;VLOOKUP($A39,$BA$1:$BC$3,3,FALSE)),1))</f>
        <v>36</v>
      </c>
      <c r="AB39" s="6">
        <f>IF(Y39="","",RANK(Z39,Z$4:Z$100,1))</f>
        <v>53</v>
      </c>
      <c r="AC39" s="4">
        <f ca="1">IF(ISNA(VLOOKUP($B39,INDIRECT("'"&amp;AC$2&amp;"'!$B$3:$E$72"),4,FALSE)),"",VLOOKUP($B39,INDIRECT("'"&amp;AC$2&amp;"'!$B$3:$E$72"),4,FALSE))</f>
        <v>31</v>
      </c>
      <c r="AD39" s="5">
        <f>IF(AC39="","",AC39+Z39)</f>
        <v>366</v>
      </c>
      <c r="AE39" s="5">
        <f ca="1">IF(AD39="","",RANK(AD39,INDIRECT("AD"&amp;VLOOKUP($A39,$BA$1:$BC$3,2,FALSE)&amp;":AD"&amp;VLOOKUP($A39,$BA$1:$BC$3,3,FALSE)),1))</f>
        <v>36</v>
      </c>
      <c r="AF39" s="6">
        <f>IF(AC39="","",RANK(AD39,AD$4:AD$100,1))</f>
        <v>53</v>
      </c>
      <c r="AG39" s="4">
        <f ca="1">IF(ISNA(VLOOKUP($B39,INDIRECT("'"&amp;AG$2&amp;"'!$B$3:$E$72"),4,FALSE)),"",VLOOKUP($B39,INDIRECT("'"&amp;AG$2&amp;"'!$B$3:$E$72"),4,FALSE))</f>
        <v>30</v>
      </c>
      <c r="AH39" s="5">
        <f>IF(AG39="","",AG39+AD39)</f>
        <v>396</v>
      </c>
      <c r="AI39" s="5">
        <f ca="1">IF(AH39="","",RANK(AH39,INDIRECT("AH"&amp;VLOOKUP($A39,$BA$1:$BC$3,2,FALSE)&amp;":AH"&amp;VLOOKUP($A39,$BA$1:$BC$3,3,FALSE)),1))</f>
        <v>36</v>
      </c>
      <c r="AJ39" s="6">
        <f>IF(AG39="","",RANK(AH39,AH$4:AH$100,1))</f>
        <v>53</v>
      </c>
      <c r="AK39" s="4">
        <f ca="1">IF(ISNA(VLOOKUP($B39,INDIRECT("'"&amp;AK$2&amp;"'!$B$3:$E$72"),4,FALSE)),"",VLOOKUP($B39,INDIRECT("'"&amp;AK$2&amp;"'!$B$3:$E$72"),4,FALSE))</f>
        <v>58</v>
      </c>
      <c r="AL39" s="5">
        <f>IF(AK39="","",AK39+AH39)</f>
        <v>454</v>
      </c>
      <c r="AM39" s="5">
        <f ca="1">IF(AL39="","",RANK(AL39,INDIRECT("AL"&amp;VLOOKUP($A39,$BA$1:$BC$3,2,FALSE)&amp;":AL"&amp;VLOOKUP($A39,$BA$1:$BC$3,3,FALSE)),1))</f>
        <v>36</v>
      </c>
      <c r="AN39" s="6">
        <f>IF(AK39="","",RANK(AL39,AL$4:AL$100,1))</f>
        <v>53</v>
      </c>
      <c r="AO39" s="4">
        <f ca="1">IF(ISNA(VLOOKUP($B39,INDIRECT("'"&amp;AO$2&amp;"'!$B$3:$E$72"),4,FALSE)),"",VLOOKUP($B39,INDIRECT("'"&amp;AO$2&amp;"'!$B$3:$E$72"),4,FALSE))</f>
        <v>41</v>
      </c>
      <c r="AP39" s="5">
        <f>IF(AO39="","",AO39+AL39)</f>
        <v>495</v>
      </c>
      <c r="AQ39" s="5">
        <f ca="1">IF(AP39="","",RANK(AP39,INDIRECT("AP"&amp;VLOOKUP($A39,$BA$1:$BC$3,2,FALSE)&amp;":AP"&amp;VLOOKUP($A39,$BA$1:$BC$3,3,FALSE)),1))</f>
        <v>36</v>
      </c>
      <c r="AR39" s="6">
        <f>IF(AO39="","",RANK(AP39,AP$4:AP$100,1))</f>
        <v>53</v>
      </c>
      <c r="AS39" s="1"/>
      <c r="AT39" s="4">
        <f>SUM(G39,I39,M39,Q39,U39,Y39,AC39,AG39,AK39,AO39)</f>
        <v>495</v>
      </c>
      <c r="AU39" s="5">
        <f ca="1">RANK(AT39,INDIRECT("AT"&amp;VLOOKUP($A39,$BA$1:$BC$3,2,FALSE)&amp;":AT"&amp;VLOOKUP($A39,$BA$1:$BC$3,3,FALSE)),1)</f>
        <v>36</v>
      </c>
      <c r="AV39" s="5">
        <f>RANK(AT39,$AT$4:$AT$100,1)</f>
        <v>53</v>
      </c>
      <c r="AW39" s="4">
        <f>MIN(G39,I39,M39,Q39,U39,Y39,AC39,AG39,AK39,AO39)</f>
        <v>29</v>
      </c>
      <c r="AX39" s="5">
        <f>MAX(G39,I39,M39,Q39,U39,Y39,AC39,AG39,AK39,AO39)</f>
        <v>100</v>
      </c>
      <c r="AY39" s="6">
        <f>MEDIAN(G39,I39,M39,Q39,U39,Y39,AC39,AG39,AK39,AO39)</f>
        <v>48.5</v>
      </c>
    </row>
    <row r="40" spans="1:51" ht="15.75">
      <c r="A40" s="14" t="s">
        <v>3</v>
      </c>
      <c r="B40" s="14">
        <v>41</v>
      </c>
      <c r="C40" s="40" t="str">
        <f>IF(ISBLANK(B40),"",VLOOKUP(B40,Entries!$A$4:$C$65,3,FALSE))</f>
        <v>Pitsea RC Mixed</v>
      </c>
      <c r="D40" s="4">
        <f>IF(AT40=0,"",AT40)</f>
        <v>532</v>
      </c>
      <c r="E40" s="5">
        <f ca="1">IF(OR(ISBLANK(D40),D40=0,D40=""),"",RANK(D40,INDIRECT("D"&amp;VLOOKUP($A40,$BA$1:$BC$3,2,FALSE)&amp;":D"&amp;VLOOKUP($A40,$BA$1:$BC$3,3,FALSE)),1))</f>
        <v>37</v>
      </c>
      <c r="F40" s="5">
        <f>IF(OR(ISBLANK(D40),D40=0,D40=""),"",RANK(D40,$D$4:$D$100,1))</f>
        <v>54</v>
      </c>
      <c r="G40" s="4">
        <f ca="1">IF(ISNA(VLOOKUP($B40,INDIRECT("'"&amp;G$2&amp;"'!$B$3:$E$72"),4,FALSE)),"",VLOOKUP($B40,INDIRECT("'"&amp;G$2&amp;"'!$B$3:$E$72"),4,FALSE))</f>
        <v>57</v>
      </c>
      <c r="H40" s="5">
        <f ca="1">IF(G40="","",RANK(G40,INDIRECT("G"&amp;VLOOKUP($A40,$BA$1:$BC$3,2,FALSE)&amp;":G"&amp;VLOOKUP($A40,$BA$1:$BC$3,3,FALSE)),1))</f>
        <v>38</v>
      </c>
      <c r="I40" s="4">
        <f ca="1">IF(ISNA(VLOOKUP($B40,INDIRECT("'"&amp;I$2&amp;"'!$B$3:$E$72"),4,FALSE)),"",VLOOKUP($B40,INDIRECT("'"&amp;I$2&amp;"'!$B$3:$E$72"),4,FALSE))</f>
        <v>52</v>
      </c>
      <c r="J40" s="5">
        <f>IF(I40="","",G40+I40)</f>
        <v>109</v>
      </c>
      <c r="K40" s="5">
        <f ca="1">IF(J40="","",RANK(J40,INDIRECT("J"&amp;VLOOKUP($A40,$BA$1:$BC$3,2,FALSE)&amp;":J"&amp;VLOOKUP($A40,$BA$1:$BC$3,3,FALSE)),1))</f>
        <v>37</v>
      </c>
      <c r="L40" s="6">
        <f>IF(I40="","",RANK(J40,J$4:J$100,1))</f>
        <v>56</v>
      </c>
      <c r="M40" s="4">
        <f ca="1">IF(ISNA(VLOOKUP($B40,INDIRECT("'"&amp;M$2&amp;"'!$B$3:$E$72"),4,FALSE)),"",VLOOKUP($B40,INDIRECT("'"&amp;M$2&amp;"'!$B$3:$E$72"),4,FALSE))</f>
        <v>51</v>
      </c>
      <c r="N40" s="5">
        <f>IF(M40="","",M40+J40)</f>
        <v>160</v>
      </c>
      <c r="O40" s="5">
        <f ca="1">IF(N40="","",RANK(N40,INDIRECT("N"&amp;VLOOKUP($A40,$BA$1:$BC$3,2,FALSE)&amp;":N"&amp;VLOOKUP($A40,$BA$1:$BC$3,3,FALSE)),1))</f>
        <v>37</v>
      </c>
      <c r="P40" s="6">
        <f>IF(M40="","",RANK(N40,N$4:N$100,1))</f>
        <v>56</v>
      </c>
      <c r="Q40" s="4">
        <f ca="1">IF(ISNA(VLOOKUP($B40,INDIRECT("'"&amp;Q$2&amp;"'!$B$3:$E$72"),4,FALSE)),"",VLOOKUP($B40,INDIRECT("'"&amp;Q$2&amp;"'!$B$3:$E$72"),4,FALSE))</f>
        <v>48</v>
      </c>
      <c r="R40" s="5">
        <f>IF(Q40="","",Q40+N40)</f>
        <v>208</v>
      </c>
      <c r="S40" s="5">
        <f ca="1">IF(R40="","",RANK(R40,INDIRECT("R"&amp;VLOOKUP($A40,$BA$1:$BC$3,2,FALSE)&amp;":R"&amp;VLOOKUP($A40,$BA$1:$BC$3,3,FALSE)),1))</f>
        <v>36</v>
      </c>
      <c r="T40" s="6">
        <f>IF(Q40="","",RANK(R40,R$4:R$100,1))</f>
        <v>53</v>
      </c>
      <c r="U40" s="4">
        <f ca="1">IF(ISNA(VLOOKUP($B40,INDIRECT("'"&amp;U$2&amp;"'!$B$3:$E$72"),4,FALSE)),"",VLOOKUP($B40,INDIRECT("'"&amp;U$2&amp;"'!$B$3:$E$72"),4,FALSE))</f>
        <v>36</v>
      </c>
      <c r="V40" s="5">
        <f>IF(U40="","",U40+R40)</f>
        <v>244</v>
      </c>
      <c r="W40" s="5">
        <f ca="1">IF(V40="","",RANK(V40,INDIRECT("V"&amp;VLOOKUP($A40,$BA$1:$BC$3,2,FALSE)&amp;":V"&amp;VLOOKUP($A40,$BA$1:$BC$3,3,FALSE)),1))</f>
        <v>35</v>
      </c>
      <c r="X40" s="6">
        <f>IF(U40="","",RANK(V40,V$4:V$100,1))</f>
        <v>52</v>
      </c>
      <c r="Y40" s="4">
        <f ca="1">IF(ISNA(VLOOKUP($B40,INDIRECT("'"&amp;Y$2&amp;"'!$B$3:$E$72"),4,FALSE)),"",VLOOKUP($B40,INDIRECT("'"&amp;Y$2&amp;"'!$B$3:$E$72"),4,FALSE))</f>
        <v>100</v>
      </c>
      <c r="Z40" s="5">
        <f>IF(Y40="","",Y40+V40)</f>
        <v>344</v>
      </c>
      <c r="AA40" s="5">
        <f ca="1">IF(Z40="","",RANK(Z40,INDIRECT("Z"&amp;VLOOKUP($A40,$BA$1:$BC$3,2,FALSE)&amp;":Z"&amp;VLOOKUP($A40,$BA$1:$BC$3,3,FALSE)),1))</f>
        <v>38</v>
      </c>
      <c r="AB40" s="6">
        <f>IF(Y40="","",RANK(Z40,Z$4:Z$100,1))</f>
        <v>56</v>
      </c>
      <c r="AC40" s="4">
        <f ca="1">IF(ISNA(VLOOKUP($B40,INDIRECT("'"&amp;AC$2&amp;"'!$B$3:$E$72"),4,FALSE)),"",VLOOKUP($B40,INDIRECT("'"&amp;AC$2&amp;"'!$B$3:$E$72"),4,FALSE))</f>
        <v>52</v>
      </c>
      <c r="AD40" s="5">
        <f>IF(AC40="","",AC40+Z40)</f>
        <v>396</v>
      </c>
      <c r="AE40" s="5">
        <f ca="1">IF(AD40="","",RANK(AD40,INDIRECT("AD"&amp;VLOOKUP($A40,$BA$1:$BC$3,2,FALSE)&amp;":AD"&amp;VLOOKUP($A40,$BA$1:$BC$3,3,FALSE)),1))</f>
        <v>37</v>
      </c>
      <c r="AF40" s="6">
        <f>IF(AC40="","",RANK(AD40,AD$4:AD$100,1))</f>
        <v>54</v>
      </c>
      <c r="AG40" s="4">
        <f ca="1">IF(ISNA(VLOOKUP($B40,INDIRECT("'"&amp;AG$2&amp;"'!$B$3:$E$72"),4,FALSE)),"",VLOOKUP($B40,INDIRECT("'"&amp;AG$2&amp;"'!$B$3:$E$72"),4,FALSE))</f>
        <v>52</v>
      </c>
      <c r="AH40" s="5">
        <f>IF(AG40="","",AG40+AD40)</f>
        <v>448</v>
      </c>
      <c r="AI40" s="5">
        <f ca="1">IF(AH40="","",RANK(AH40,INDIRECT("AH"&amp;VLOOKUP($A40,$BA$1:$BC$3,2,FALSE)&amp;":AH"&amp;VLOOKUP($A40,$BA$1:$BC$3,3,FALSE)),1))</f>
        <v>37</v>
      </c>
      <c r="AJ40" s="6">
        <f>IF(AG40="","",RANK(AH40,AH$4:AH$100,1))</f>
        <v>54</v>
      </c>
      <c r="AK40" s="4">
        <f ca="1">IF(ISNA(VLOOKUP($B40,INDIRECT("'"&amp;AK$2&amp;"'!$B$3:$E$72"),4,FALSE)),"",VLOOKUP($B40,INDIRECT("'"&amp;AK$2&amp;"'!$B$3:$E$72"),4,FALSE))</f>
        <v>45</v>
      </c>
      <c r="AL40" s="5">
        <f>IF(AK40="","",AK40+AH40)</f>
        <v>493</v>
      </c>
      <c r="AM40" s="5">
        <f ca="1">IF(AL40="","",RANK(AL40,INDIRECT("AL"&amp;VLOOKUP($A40,$BA$1:$BC$3,2,FALSE)&amp;":AL"&amp;VLOOKUP($A40,$BA$1:$BC$3,3,FALSE)),1))</f>
        <v>37</v>
      </c>
      <c r="AN40" s="6">
        <f>IF(AK40="","",RANK(AL40,AL$4:AL$100,1))</f>
        <v>54</v>
      </c>
      <c r="AO40" s="4">
        <f ca="1">IF(ISNA(VLOOKUP($B40,INDIRECT("'"&amp;AO$2&amp;"'!$B$3:$E$72"),4,FALSE)),"",VLOOKUP($B40,INDIRECT("'"&amp;AO$2&amp;"'!$B$3:$E$72"),4,FALSE))</f>
        <v>39</v>
      </c>
      <c r="AP40" s="5">
        <f>IF(AO40="","",AO40+AL40)</f>
        <v>532</v>
      </c>
      <c r="AQ40" s="5">
        <f ca="1">IF(AP40="","",RANK(AP40,INDIRECT("AP"&amp;VLOOKUP($A40,$BA$1:$BC$3,2,FALSE)&amp;":AP"&amp;VLOOKUP($A40,$BA$1:$BC$3,3,FALSE)),1))</f>
        <v>37</v>
      </c>
      <c r="AR40" s="6">
        <f>IF(AO40="","",RANK(AP40,AP$4:AP$100,1))</f>
        <v>54</v>
      </c>
      <c r="AT40" s="4">
        <f>SUM(G40,I40,M40,Q40,U40,Y40,AC40,AG40,AK40,AO40)</f>
        <v>532</v>
      </c>
      <c r="AU40" s="5">
        <f ca="1">RANK(AT40,INDIRECT("AT"&amp;VLOOKUP($A40,$BA$1:$BC$3,2,FALSE)&amp;":AT"&amp;VLOOKUP($A40,$BA$1:$BC$3,3,FALSE)),1)</f>
        <v>37</v>
      </c>
      <c r="AV40" s="5">
        <f>RANK(AT40,$AT$4:$AT$100,1)</f>
        <v>54</v>
      </c>
      <c r="AW40" s="4">
        <f>MIN(G40,I40,M40,Q40,U40,Y40,AC40,AG40,AK40,AO40)</f>
        <v>36</v>
      </c>
      <c r="AX40" s="5">
        <f>MAX(G40,I40,M40,Q40,U40,Y40,AC40,AG40,AK40,AO40)</f>
        <v>100</v>
      </c>
      <c r="AY40" s="6">
        <f>MEDIAN(G40,I40,M40,Q40,U40,Y40,AC40,AG40,AK40,AO40)</f>
        <v>51.5</v>
      </c>
    </row>
    <row r="41" spans="1:51" ht="15.75">
      <c r="A41" s="14" t="s">
        <v>3</v>
      </c>
      <c r="B41" s="41">
        <v>11</v>
      </c>
      <c r="C41" s="40" t="str">
        <f>IF(ISBLANK(B41),"",VLOOKUP(B41,Entries!$A$4:$C$65,3,FALSE))</f>
        <v>Billericay Striders</v>
      </c>
      <c r="D41" s="4">
        <f>IF(AT41=0,"",AT41)</f>
        <v>571</v>
      </c>
      <c r="E41" s="5">
        <f ca="1">IF(OR(ISBLANK(D41),D41=0,D41=""),"",RANK(D41,INDIRECT("D"&amp;VLOOKUP($A41,$BA$1:$BC$3,2,FALSE)&amp;":D"&amp;VLOOKUP($A41,$BA$1:$BC$3,3,FALSE)),1))</f>
        <v>38</v>
      </c>
      <c r="F41" s="5">
        <f>IF(OR(ISBLANK(D41),D41=0,D41=""),"",RANK(D41,$D$4:$D$100,1))</f>
        <v>55</v>
      </c>
      <c r="G41" s="4">
        <f ca="1">IF(ISNA(VLOOKUP($B41,INDIRECT("'"&amp;G$2&amp;"'!$B$3:$E$72"),4,FALSE)),"",VLOOKUP($B41,INDIRECT("'"&amp;G$2&amp;"'!$B$3:$E$72"),4,FALSE))</f>
        <v>36</v>
      </c>
      <c r="H41" s="5">
        <f ca="1">IF(G41="","",RANK(G41,INDIRECT("G"&amp;VLOOKUP($A41,$BA$1:$BC$3,2,FALSE)&amp;":G"&amp;VLOOKUP($A41,$BA$1:$BC$3,3,FALSE)),1))</f>
        <v>27</v>
      </c>
      <c r="I41" s="4">
        <f ca="1">IF(ISNA(VLOOKUP($B41,INDIRECT("'"&amp;I$2&amp;"'!$B$3:$E$72"),4,FALSE)),"",VLOOKUP($B41,INDIRECT("'"&amp;I$2&amp;"'!$B$3:$E$72"),4,FALSE))</f>
        <v>58</v>
      </c>
      <c r="J41" s="5">
        <f>IF(I41="","",G41+I41)</f>
        <v>94</v>
      </c>
      <c r="K41" s="5">
        <f ca="1">IF(J41="","",RANK(J41,INDIRECT("J"&amp;VLOOKUP($A41,$BA$1:$BC$3,2,FALSE)&amp;":J"&amp;VLOOKUP($A41,$BA$1:$BC$3,3,FALSE)),1))</f>
        <v>32</v>
      </c>
      <c r="L41" s="6">
        <f>IF(I41="","",RANK(J41,J$4:J$100,1))</f>
        <v>47</v>
      </c>
      <c r="M41" s="4">
        <f ca="1">IF(ISNA(VLOOKUP($B41,INDIRECT("'"&amp;M$2&amp;"'!$B$3:$E$72"),4,FALSE)),"",VLOOKUP($B41,INDIRECT("'"&amp;M$2&amp;"'!$B$3:$E$72"),4,FALSE))</f>
        <v>44</v>
      </c>
      <c r="N41" s="5">
        <f>IF(M41="","",M41+J41)</f>
        <v>138</v>
      </c>
      <c r="O41" s="5">
        <f ca="1">IF(N41="","",RANK(N41,INDIRECT("N"&amp;VLOOKUP($A41,$BA$1:$BC$3,2,FALSE)&amp;":N"&amp;VLOOKUP($A41,$BA$1:$BC$3,3,FALSE)),1))</f>
        <v>32</v>
      </c>
      <c r="P41" s="6">
        <f>IF(M41="","",RANK(N41,N$4:N$100,1))</f>
        <v>47</v>
      </c>
      <c r="Q41" s="4">
        <f ca="1">IF(ISNA(VLOOKUP($B41,INDIRECT("'"&amp;Q$2&amp;"'!$B$3:$E$72"),4,FALSE)),"",VLOOKUP($B41,INDIRECT("'"&amp;Q$2&amp;"'!$B$3:$E$72"),4,FALSE))</f>
        <v>100</v>
      </c>
      <c r="R41" s="5">
        <f>IF(Q41="","",Q41+N41)</f>
        <v>238</v>
      </c>
      <c r="S41" s="5">
        <f ca="1">IF(R41="","",RANK(R41,INDIRECT("R"&amp;VLOOKUP($A41,$BA$1:$BC$3,2,FALSE)&amp;":R"&amp;VLOOKUP($A41,$BA$1:$BC$3,3,FALSE)),1))</f>
        <v>38</v>
      </c>
      <c r="T41" s="6">
        <f>IF(Q41="","",RANK(R41,R$4:R$100,1))</f>
        <v>55</v>
      </c>
      <c r="U41" s="4">
        <f ca="1">IF(ISNA(VLOOKUP($B41,INDIRECT("'"&amp;U$2&amp;"'!$B$3:$E$72"),4,FALSE)),"",VLOOKUP($B41,INDIRECT("'"&amp;U$2&amp;"'!$B$3:$E$72"),4,FALSE))</f>
        <v>54</v>
      </c>
      <c r="V41" s="5">
        <f>IF(U41="","",U41+R41)</f>
        <v>292</v>
      </c>
      <c r="W41" s="5">
        <f ca="1">IF(V41="","",RANK(V41,INDIRECT("V"&amp;VLOOKUP($A41,$BA$1:$BC$3,2,FALSE)&amp;":V"&amp;VLOOKUP($A41,$BA$1:$BC$3,3,FALSE)),1))</f>
        <v>38</v>
      </c>
      <c r="X41" s="6">
        <f>IF(U41="","",RANK(V41,V$4:V$100,1))</f>
        <v>56</v>
      </c>
      <c r="Y41" s="4">
        <f ca="1">IF(ISNA(VLOOKUP($B41,INDIRECT("'"&amp;Y$2&amp;"'!$B$3:$E$72"),4,FALSE)),"",VLOOKUP($B41,INDIRECT("'"&amp;Y$2&amp;"'!$B$3:$E$72"),4,FALSE))</f>
        <v>50</v>
      </c>
      <c r="Z41" s="5">
        <f>IF(Y41="","",Y41+V41)</f>
        <v>342</v>
      </c>
      <c r="AA41" s="5">
        <f ca="1">IF(Z41="","",RANK(Z41,INDIRECT("Z"&amp;VLOOKUP($A41,$BA$1:$BC$3,2,FALSE)&amp;":Z"&amp;VLOOKUP($A41,$BA$1:$BC$3,3,FALSE)),1))</f>
        <v>37</v>
      </c>
      <c r="AB41" s="6">
        <f>IF(Y41="","",RANK(Z41,Z$4:Z$100,1))</f>
        <v>55</v>
      </c>
      <c r="AC41" s="4">
        <f ca="1">IF(ISNA(VLOOKUP($B41,INDIRECT("'"&amp;AC$2&amp;"'!$B$3:$E$72"),4,FALSE)),"",VLOOKUP($B41,INDIRECT("'"&amp;AC$2&amp;"'!$B$3:$E$72"),4,FALSE))</f>
        <v>100</v>
      </c>
      <c r="AD41" s="5">
        <f>IF(AC41="","",AC41+Z41)</f>
        <v>442</v>
      </c>
      <c r="AE41" s="5">
        <f ca="1">IF(AD41="","",RANK(AD41,INDIRECT("AD"&amp;VLOOKUP($A41,$BA$1:$BC$3,2,FALSE)&amp;":AD"&amp;VLOOKUP($A41,$BA$1:$BC$3,3,FALSE)),1))</f>
        <v>38</v>
      </c>
      <c r="AF41" s="6">
        <f>IF(AC41="","",RANK(AD41,AD$4:AD$100,1))</f>
        <v>56</v>
      </c>
      <c r="AG41" s="4">
        <f ca="1">IF(ISNA(VLOOKUP($B41,INDIRECT("'"&amp;AG$2&amp;"'!$B$3:$E$72"),4,FALSE)),"",VLOOKUP($B41,INDIRECT("'"&amp;AG$2&amp;"'!$B$3:$E$72"),4,FALSE))</f>
        <v>51</v>
      </c>
      <c r="AH41" s="5">
        <f>IF(AG41="","",AG41+AD41)</f>
        <v>493</v>
      </c>
      <c r="AI41" s="5">
        <f ca="1">IF(AH41="","",RANK(AH41,INDIRECT("AH"&amp;VLOOKUP($A41,$BA$1:$BC$3,2,FALSE)&amp;":AH"&amp;VLOOKUP($A41,$BA$1:$BC$3,3,FALSE)),1))</f>
        <v>38</v>
      </c>
      <c r="AJ41" s="6">
        <f>IF(AG41="","",RANK(AH41,AH$4:AH$100,1))</f>
        <v>55</v>
      </c>
      <c r="AK41" s="4">
        <f ca="1">IF(ISNA(VLOOKUP($B41,INDIRECT("'"&amp;AK$2&amp;"'!$B$3:$E$72"),4,FALSE)),"",VLOOKUP($B41,INDIRECT("'"&amp;AK$2&amp;"'!$B$3:$E$72"),4,FALSE))</f>
        <v>44</v>
      </c>
      <c r="AL41" s="5">
        <f>IF(AK41="","",AK41+AH41)</f>
        <v>537</v>
      </c>
      <c r="AM41" s="5">
        <f ca="1">IF(AL41="","",RANK(AL41,INDIRECT("AL"&amp;VLOOKUP($A41,$BA$1:$BC$3,2,FALSE)&amp;":AL"&amp;VLOOKUP($A41,$BA$1:$BC$3,3,FALSE)),1))</f>
        <v>38</v>
      </c>
      <c r="AN41" s="6">
        <f>IF(AK41="","",RANK(AL41,AL$4:AL$100,1))</f>
        <v>55</v>
      </c>
      <c r="AO41" s="4">
        <f ca="1">IF(ISNA(VLOOKUP($B41,INDIRECT("'"&amp;AO$2&amp;"'!$B$3:$E$72"),4,FALSE)),"",VLOOKUP($B41,INDIRECT("'"&amp;AO$2&amp;"'!$B$3:$E$72"),4,FALSE))</f>
        <v>34</v>
      </c>
      <c r="AP41" s="5">
        <f>IF(AO41="","",AO41+AL41)</f>
        <v>571</v>
      </c>
      <c r="AQ41" s="5">
        <f ca="1">IF(AP41="","",RANK(AP41,INDIRECT("AP"&amp;VLOOKUP($A41,$BA$1:$BC$3,2,FALSE)&amp;":AP"&amp;VLOOKUP($A41,$BA$1:$BC$3,3,FALSE)),1))</f>
        <v>38</v>
      </c>
      <c r="AR41" s="6">
        <f>IF(AO41="","",RANK(AP41,AP$4:AP$100,1))</f>
        <v>55</v>
      </c>
      <c r="AT41" s="4">
        <f>SUM(G41,I41,M41,Q41,U41,Y41,AC41,AG41,AK41,AO41)</f>
        <v>571</v>
      </c>
      <c r="AU41" s="5">
        <f ca="1">RANK(AT41,INDIRECT("AT"&amp;VLOOKUP($A41,$BA$1:$BC$3,2,FALSE)&amp;":AT"&amp;VLOOKUP($A41,$BA$1:$BC$3,3,FALSE)),1)</f>
        <v>38</v>
      </c>
      <c r="AV41" s="5">
        <f>RANK(AT41,$AT$4:$AT$100,1)</f>
        <v>55</v>
      </c>
      <c r="AW41" s="4">
        <f>MIN(G41,I41,M41,Q41,U41,Y41,AC41,AG41,AK41,AO41)</f>
        <v>34</v>
      </c>
      <c r="AX41" s="5">
        <f>MAX(G41,I41,M41,Q41,U41,Y41,AC41,AG41,AK41,AO41)</f>
        <v>100</v>
      </c>
      <c r="AY41" s="6">
        <f>MEDIAN(G41,I41,M41,Q41,U41,Y41,AC41,AG41,AK41,AO41)</f>
        <v>50.5</v>
      </c>
    </row>
    <row r="42" spans="1:51" ht="15.75">
      <c r="A42" s="14" t="s">
        <v>3</v>
      </c>
      <c r="B42" s="41">
        <v>4</v>
      </c>
      <c r="C42" s="40" t="str">
        <f>IF(ISBLANK(B42),"",VLOOKUP(B42,Entries!$A$4:$C$65,3,FALSE))</f>
        <v>Tiptree B</v>
      </c>
      <c r="D42" s="4">
        <f>IF(AT42=0,"",AT42)</f>
        <v>681</v>
      </c>
      <c r="E42" s="5">
        <f ca="1">IF(OR(ISBLANK(D42),D42=0,D42=""),"",RANK(D42,INDIRECT("D"&amp;VLOOKUP($A42,$BA$1:$BC$3,2,FALSE)&amp;":D"&amp;VLOOKUP($A42,$BA$1:$BC$3,3,FALSE)),1))</f>
        <v>39</v>
      </c>
      <c r="F42" s="5">
        <f>IF(OR(ISBLANK(D42),D42=0,D42=""),"",RANK(D42,$D$4:$D$100,1))</f>
        <v>58</v>
      </c>
      <c r="G42" s="4">
        <f ca="1">IF(ISNA(VLOOKUP($B42,INDIRECT("'"&amp;G$2&amp;"'!$B$3:$E$72"),4,FALSE)),"",VLOOKUP($B42,INDIRECT("'"&amp;G$2&amp;"'!$B$3:$E$72"),4,FALSE))</f>
        <v>27</v>
      </c>
      <c r="H42" s="5">
        <f ca="1">IF(G42="","",RANK(G42,INDIRECT("G"&amp;VLOOKUP($A42,$BA$1:$BC$3,2,FALSE)&amp;":G"&amp;VLOOKUP($A42,$BA$1:$BC$3,3,FALSE)),1))</f>
        <v>22</v>
      </c>
      <c r="I42" s="4">
        <f ca="1">IF(ISNA(VLOOKUP($B42,INDIRECT("'"&amp;I$2&amp;"'!$B$3:$E$72"),4,FALSE)),"",VLOOKUP($B42,INDIRECT("'"&amp;I$2&amp;"'!$B$3:$E$72"),4,FALSE))</f>
        <v>100</v>
      </c>
      <c r="J42" s="5">
        <f>IF(I42="","",G42+I42)</f>
        <v>127</v>
      </c>
      <c r="K42" s="5">
        <f ca="1">IF(J42="","",RANK(J42,INDIRECT("J"&amp;VLOOKUP($A42,$BA$1:$BC$3,2,FALSE)&amp;":J"&amp;VLOOKUP($A42,$BA$1:$BC$3,3,FALSE)),1))</f>
        <v>38</v>
      </c>
      <c r="L42" s="6">
        <f>IF(I42="","",RANK(J42,J$4:J$100,1))</f>
        <v>57</v>
      </c>
      <c r="M42" s="4">
        <f ca="1">IF(ISNA(VLOOKUP($B42,INDIRECT("'"&amp;M$2&amp;"'!$B$3:$E$72"),4,FALSE)),"",VLOOKUP($B42,INDIRECT("'"&amp;M$2&amp;"'!$B$3:$E$72"),4,FALSE))</f>
        <v>57</v>
      </c>
      <c r="N42" s="5">
        <f>IF(M42="","",M42+J42)</f>
        <v>184</v>
      </c>
      <c r="O42" s="5">
        <f ca="1">IF(N42="","",RANK(N42,INDIRECT("N"&amp;VLOOKUP($A42,$BA$1:$BC$3,2,FALSE)&amp;":N"&amp;VLOOKUP($A42,$BA$1:$BC$3,3,FALSE)),1))</f>
        <v>40</v>
      </c>
      <c r="P42" s="6">
        <f>IF(M42="","",RANK(N42,N$4:N$100,1))</f>
        <v>59</v>
      </c>
      <c r="Q42" s="4">
        <f ca="1">IF(ISNA(VLOOKUP($B42,INDIRECT("'"&amp;Q$2&amp;"'!$B$3:$E$72"),4,FALSE)),"",VLOOKUP($B42,INDIRECT("'"&amp;Q$2&amp;"'!$B$3:$E$72"),4,FALSE))</f>
        <v>100</v>
      </c>
      <c r="R42" s="5">
        <f>IF(Q42="","",Q42+N42)</f>
        <v>284</v>
      </c>
      <c r="S42" s="5">
        <f ca="1">IF(R42="","",RANK(R42,INDIRECT("R"&amp;VLOOKUP($A42,$BA$1:$BC$3,2,FALSE)&amp;":R"&amp;VLOOKUP($A42,$BA$1:$BC$3,3,FALSE)),1))</f>
        <v>40</v>
      </c>
      <c r="T42" s="6">
        <f>IF(Q42="","",RANK(R42,R$4:R$100,1))</f>
        <v>59</v>
      </c>
      <c r="U42" s="4">
        <f ca="1">IF(ISNA(VLOOKUP($B42,INDIRECT("'"&amp;U$2&amp;"'!$B$3:$E$72"),4,FALSE)),"",VLOOKUP($B42,INDIRECT("'"&amp;U$2&amp;"'!$B$3:$E$72"),4,FALSE))</f>
        <v>100</v>
      </c>
      <c r="V42" s="5">
        <f>IF(U42="","",U42+R42)</f>
        <v>384</v>
      </c>
      <c r="W42" s="5">
        <f ca="1">IF(V42="","",RANK(V42,INDIRECT("V"&amp;VLOOKUP($A42,$BA$1:$BC$3,2,FALSE)&amp;":V"&amp;VLOOKUP($A42,$BA$1:$BC$3,3,FALSE)),1))</f>
        <v>40</v>
      </c>
      <c r="X42" s="6">
        <f>IF(U42="","",RANK(V42,V$4:V$100,1))</f>
        <v>59</v>
      </c>
      <c r="Y42" s="4">
        <f ca="1">IF(ISNA(VLOOKUP($B42,INDIRECT("'"&amp;Y$2&amp;"'!$B$3:$E$72"),4,FALSE)),"",VLOOKUP($B42,INDIRECT("'"&amp;Y$2&amp;"'!$B$3:$E$72"),4,FALSE))</f>
        <v>41</v>
      </c>
      <c r="Z42" s="5">
        <f>IF(Y42="","",Y42+V42)</f>
        <v>425</v>
      </c>
      <c r="AA42" s="5">
        <f ca="1">IF(Z42="","",RANK(Z42,INDIRECT("Z"&amp;VLOOKUP($A42,$BA$1:$BC$3,2,FALSE)&amp;":Z"&amp;VLOOKUP($A42,$BA$1:$BC$3,3,FALSE)),1))</f>
        <v>39</v>
      </c>
      <c r="AB42" s="6">
        <f>IF(Y42="","",RANK(Z42,Z$4:Z$100,1))</f>
        <v>58</v>
      </c>
      <c r="AC42" s="4">
        <f ca="1">IF(ISNA(VLOOKUP($B42,INDIRECT("'"&amp;AC$2&amp;"'!$B$3:$E$72"),4,FALSE)),"",VLOOKUP($B42,INDIRECT("'"&amp;AC$2&amp;"'!$B$3:$E$72"),4,FALSE))</f>
        <v>100</v>
      </c>
      <c r="AD42" s="5">
        <f>IF(AC42="","",AC42+Z42)</f>
        <v>525</v>
      </c>
      <c r="AE42" s="5">
        <f ca="1">IF(AD42="","",RANK(AD42,INDIRECT("AD"&amp;VLOOKUP($A42,$BA$1:$BC$3,2,FALSE)&amp;":AD"&amp;VLOOKUP($A42,$BA$1:$BC$3,3,FALSE)),1))</f>
        <v>40</v>
      </c>
      <c r="AF42" s="6">
        <f>IF(AC42="","",RANK(AD42,AD$4:AD$100,1))</f>
        <v>59</v>
      </c>
      <c r="AG42" s="4">
        <f ca="1">IF(ISNA(VLOOKUP($B42,INDIRECT("'"&amp;AG$2&amp;"'!$B$3:$E$72"),4,FALSE)),"",VLOOKUP($B42,INDIRECT("'"&amp;AG$2&amp;"'!$B$3:$E$72"),4,FALSE))</f>
        <v>55</v>
      </c>
      <c r="AH42" s="5">
        <f>IF(AG42="","",AG42+AD42)</f>
        <v>580</v>
      </c>
      <c r="AI42" s="5">
        <f ca="1">IF(AH42="","",RANK(AH42,INDIRECT("AH"&amp;VLOOKUP($A42,$BA$1:$BC$3,2,FALSE)&amp;":AH"&amp;VLOOKUP($A42,$BA$1:$BC$3,3,FALSE)),1))</f>
        <v>39</v>
      </c>
      <c r="AJ42" s="6">
        <f>IF(AG42="","",RANK(AH42,AH$4:AH$100,1))</f>
        <v>58</v>
      </c>
      <c r="AK42" s="4">
        <f ca="1">IF(ISNA(VLOOKUP($B42,INDIRECT("'"&amp;AK$2&amp;"'!$B$3:$E$72"),4,FALSE)),"",VLOOKUP($B42,INDIRECT("'"&amp;AK$2&amp;"'!$B$3:$E$72"),4,FALSE))</f>
        <v>49</v>
      </c>
      <c r="AL42" s="5">
        <f>IF(AK42="","",AK42+AH42)</f>
        <v>629</v>
      </c>
      <c r="AM42" s="5">
        <f ca="1">IF(AL42="","",RANK(AL42,INDIRECT("AL"&amp;VLOOKUP($A42,$BA$1:$BC$3,2,FALSE)&amp;":AL"&amp;VLOOKUP($A42,$BA$1:$BC$3,3,FALSE)),1))</f>
        <v>39</v>
      </c>
      <c r="AN42" s="6">
        <f>IF(AK42="","",RANK(AL42,AL$4:AL$100,1))</f>
        <v>58</v>
      </c>
      <c r="AO42" s="4">
        <f ca="1">IF(ISNA(VLOOKUP($B42,INDIRECT("'"&amp;AO$2&amp;"'!$B$3:$E$72"),4,FALSE)),"",VLOOKUP($B42,INDIRECT("'"&amp;AO$2&amp;"'!$B$3:$E$72"),4,FALSE))</f>
        <v>52</v>
      </c>
      <c r="AP42" s="5">
        <f>IF(AO42="","",AO42+AL42)</f>
        <v>681</v>
      </c>
      <c r="AQ42" s="5">
        <f ca="1">IF(AP42="","",RANK(AP42,INDIRECT("AP"&amp;VLOOKUP($A42,$BA$1:$BC$3,2,FALSE)&amp;":AP"&amp;VLOOKUP($A42,$BA$1:$BC$3,3,FALSE)),1))</f>
        <v>39</v>
      </c>
      <c r="AR42" s="6">
        <f>IF(AO42="","",RANK(AP42,AP$4:AP$100,1))</f>
        <v>58</v>
      </c>
      <c r="AT42" s="4">
        <f>SUM(G42,I42,M42,Q42,U42,Y42,AC42,AG42,AK42,AO42)</f>
        <v>681</v>
      </c>
      <c r="AU42" s="5">
        <f ca="1">RANK(AT42,INDIRECT("AT"&amp;VLOOKUP($A42,$BA$1:$BC$3,2,FALSE)&amp;":AT"&amp;VLOOKUP($A42,$BA$1:$BC$3,3,FALSE)),1)</f>
        <v>39</v>
      </c>
      <c r="AV42" s="5">
        <f>RANK(AT42,$AT$4:$AT$100,1)</f>
        <v>58</v>
      </c>
      <c r="AW42" s="4">
        <f>MIN(G42,I42,M42,Q42,U42,Y42,AC42,AG42,AK42,AO42)</f>
        <v>27</v>
      </c>
      <c r="AX42" s="5">
        <f>MAX(G42,I42,M42,Q42,U42,Y42,AC42,AG42,AK42,AO42)</f>
        <v>100</v>
      </c>
      <c r="AY42" s="6">
        <f>MEDIAN(G42,I42,M42,Q42,U42,Y42,AC42,AG42,AK42,AO42)</f>
        <v>56</v>
      </c>
    </row>
    <row r="43" spans="1:51" s="37" customFormat="1" ht="15.75">
      <c r="A43" s="15" t="s">
        <v>3</v>
      </c>
      <c r="B43" s="15">
        <v>39</v>
      </c>
      <c r="C43" s="49" t="str">
        <f>IF(ISBLANK(B43),"",VLOOKUP(B43,Entries!$A$4:$C$65,3,FALSE))</f>
        <v>Springfield Striders Mixed D</v>
      </c>
      <c r="D43" s="7">
        <f>IF(AT43=0,"",AT43)</f>
        <v>694</v>
      </c>
      <c r="E43" s="8">
        <f ca="1">IF(OR(ISBLANK(D43),D43=0,D43=""),"",RANK(D43,INDIRECT("D"&amp;VLOOKUP($A43,$BA$1:$BC$3,2,FALSE)&amp;":D"&amp;VLOOKUP($A43,$BA$1:$BC$3,3,FALSE)),1))</f>
        <v>40</v>
      </c>
      <c r="F43" s="8">
        <f>IF(OR(ISBLANK(D43),D43=0,D43=""),"",RANK(D43,$D$4:$D$100,1))</f>
        <v>59</v>
      </c>
      <c r="G43" s="7">
        <f ca="1">IF(ISNA(VLOOKUP($B43,INDIRECT("'"&amp;G$2&amp;"'!$B$3:$E$72"),4,FALSE)),"",VLOOKUP($B43,INDIRECT("'"&amp;G$2&amp;"'!$B$3:$E$72"),4,FALSE))</f>
        <v>33</v>
      </c>
      <c r="H43" s="8">
        <f ca="1">IF(G43="","",RANK(G43,INDIRECT("G"&amp;VLOOKUP($A43,$BA$1:$BC$3,2,FALSE)&amp;":G"&amp;VLOOKUP($A43,$BA$1:$BC$3,3,FALSE)),1))</f>
        <v>24</v>
      </c>
      <c r="I43" s="7">
        <f ca="1">IF(ISNA(VLOOKUP($B43,INDIRECT("'"&amp;I$2&amp;"'!$B$3:$E$72"),4,FALSE)),"",VLOOKUP($B43,INDIRECT("'"&amp;I$2&amp;"'!$B$3:$E$72"),4,FALSE))</f>
        <v>38</v>
      </c>
      <c r="J43" s="8">
        <f>IF(I43="","",G43+I43)</f>
        <v>71</v>
      </c>
      <c r="K43" s="8">
        <f ca="1">IF(J43="","",RANK(J43,INDIRECT("J"&amp;VLOOKUP($A43,$BA$1:$BC$3,2,FALSE)&amp;":J"&amp;VLOOKUP($A43,$BA$1:$BC$3,3,FALSE)),1))</f>
        <v>24</v>
      </c>
      <c r="L43" s="9">
        <f>IF(I43="","",RANK(J43,J$4:J$100,1))</f>
        <v>33</v>
      </c>
      <c r="M43" s="7">
        <f ca="1">IF(ISNA(VLOOKUP($B43,INDIRECT("'"&amp;M$2&amp;"'!$B$3:$E$72"),4,FALSE)),"",VLOOKUP($B43,INDIRECT("'"&amp;M$2&amp;"'!$B$3:$E$72"),4,FALSE))</f>
        <v>100</v>
      </c>
      <c r="N43" s="8">
        <f>IF(M43="","",M43+J43)</f>
        <v>171</v>
      </c>
      <c r="O43" s="8">
        <f ca="1">IF(N43="","",RANK(N43,INDIRECT("N"&amp;VLOOKUP($A43,$BA$1:$BC$3,2,FALSE)&amp;":N"&amp;VLOOKUP($A43,$BA$1:$BC$3,3,FALSE)),1))</f>
        <v>38</v>
      </c>
      <c r="P43" s="9">
        <f>IF(M43="","",RANK(N43,N$4:N$100,1))</f>
        <v>57</v>
      </c>
      <c r="Q43" s="7">
        <f ca="1">IF(ISNA(VLOOKUP($B43,INDIRECT("'"&amp;Q$2&amp;"'!$B$3:$E$72"),4,FALSE)),"",VLOOKUP($B43,INDIRECT("'"&amp;Q$2&amp;"'!$B$3:$E$72"),4,FALSE))</f>
        <v>100</v>
      </c>
      <c r="R43" s="8">
        <f>IF(Q43="","",Q43+N43)</f>
        <v>271</v>
      </c>
      <c r="S43" s="8">
        <f ca="1">IF(R43="","",RANK(R43,INDIRECT("R"&amp;VLOOKUP($A43,$BA$1:$BC$3,2,FALSE)&amp;":R"&amp;VLOOKUP($A43,$BA$1:$BC$3,3,FALSE)),1))</f>
        <v>39</v>
      </c>
      <c r="T43" s="9">
        <f>IF(Q43="","",RANK(R43,R$4:R$100,1))</f>
        <v>58</v>
      </c>
      <c r="U43" s="7">
        <f ca="1">IF(ISNA(VLOOKUP($B43,INDIRECT("'"&amp;U$2&amp;"'!$B$3:$E$72"),4,FALSE)),"",VLOOKUP($B43,INDIRECT("'"&amp;U$2&amp;"'!$B$3:$E$72"),4,FALSE))</f>
        <v>100</v>
      </c>
      <c r="V43" s="8">
        <f>IF(U43="","",U43+R43)</f>
        <v>371</v>
      </c>
      <c r="W43" s="8">
        <f ca="1">IF(V43="","",RANK(V43,INDIRECT("V"&amp;VLOOKUP($A43,$BA$1:$BC$3,2,FALSE)&amp;":V"&amp;VLOOKUP($A43,$BA$1:$BC$3,3,FALSE)),1))</f>
        <v>39</v>
      </c>
      <c r="X43" s="9">
        <f>IF(U43="","",RANK(V43,V$4:V$100,1))</f>
        <v>58</v>
      </c>
      <c r="Y43" s="7">
        <f ca="1">IF(ISNA(VLOOKUP($B43,INDIRECT("'"&amp;Y$2&amp;"'!$B$3:$E$72"),4,FALSE)),"",VLOOKUP($B43,INDIRECT("'"&amp;Y$2&amp;"'!$B$3:$E$72"),4,FALSE))</f>
        <v>100</v>
      </c>
      <c r="Z43" s="8">
        <f>IF(Y43="","",Y43+V43)</f>
        <v>471</v>
      </c>
      <c r="AA43" s="8">
        <f ca="1">IF(Z43="","",RANK(Z43,INDIRECT("Z"&amp;VLOOKUP($A43,$BA$1:$BC$3,2,FALSE)&amp;":Z"&amp;VLOOKUP($A43,$BA$1:$BC$3,3,FALSE)),1))</f>
        <v>40</v>
      </c>
      <c r="AB43" s="9">
        <f>IF(Y43="","",RANK(Z43,Z$4:Z$100,1))</f>
        <v>59</v>
      </c>
      <c r="AC43" s="7">
        <f ca="1">IF(ISNA(VLOOKUP($B43,INDIRECT("'"&amp;AC$2&amp;"'!$B$3:$E$72"),4,FALSE)),"",VLOOKUP($B43,INDIRECT("'"&amp;AC$2&amp;"'!$B$3:$E$72"),4,FALSE))</f>
        <v>34</v>
      </c>
      <c r="AD43" s="8">
        <f>IF(AC43="","",AC43+Z43)</f>
        <v>505</v>
      </c>
      <c r="AE43" s="8">
        <f ca="1">IF(AD43="","",RANK(AD43,INDIRECT("AD"&amp;VLOOKUP($A43,$BA$1:$BC$3,2,FALSE)&amp;":AD"&amp;VLOOKUP($A43,$BA$1:$BC$3,3,FALSE)),1))</f>
        <v>39</v>
      </c>
      <c r="AF43" s="9">
        <f>IF(AC43="","",RANK(AD43,AD$4:AD$100,1))</f>
        <v>58</v>
      </c>
      <c r="AG43" s="7">
        <f ca="1">IF(ISNA(VLOOKUP($B43,INDIRECT("'"&amp;AG$2&amp;"'!$B$3:$E$72"),4,FALSE)),"",VLOOKUP($B43,INDIRECT("'"&amp;AG$2&amp;"'!$B$3:$E$72"),4,FALSE))</f>
        <v>100</v>
      </c>
      <c r="AH43" s="8">
        <f>IF(AG43="","",AG43+AD43)</f>
        <v>605</v>
      </c>
      <c r="AI43" s="8">
        <f ca="1">IF(AH43="","",RANK(AH43,INDIRECT("AH"&amp;VLOOKUP($A43,$BA$1:$BC$3,2,FALSE)&amp;":AH"&amp;VLOOKUP($A43,$BA$1:$BC$3,3,FALSE)),1))</f>
        <v>40</v>
      </c>
      <c r="AJ43" s="9">
        <f>IF(AG43="","",RANK(AH43,AH$4:AH$100,1))</f>
        <v>59</v>
      </c>
      <c r="AK43" s="7">
        <f ca="1">IF(ISNA(VLOOKUP($B43,INDIRECT("'"&amp;AK$2&amp;"'!$B$3:$E$72"),4,FALSE)),"",VLOOKUP($B43,INDIRECT("'"&amp;AK$2&amp;"'!$B$3:$E$72"),4,FALSE))</f>
        <v>51</v>
      </c>
      <c r="AL43" s="8">
        <f>IF(AK43="","",AK43+AH43)</f>
        <v>656</v>
      </c>
      <c r="AM43" s="8">
        <f ca="1">IF(AL43="","",RANK(AL43,INDIRECT("AL"&amp;VLOOKUP($A43,$BA$1:$BC$3,2,FALSE)&amp;":AL"&amp;VLOOKUP($A43,$BA$1:$BC$3,3,FALSE)),1))</f>
        <v>40</v>
      </c>
      <c r="AN43" s="9">
        <f>IF(AK43="","",RANK(AL43,AL$4:AL$100,1))</f>
        <v>59</v>
      </c>
      <c r="AO43" s="7">
        <f ca="1">IF(ISNA(VLOOKUP($B43,INDIRECT("'"&amp;AO$2&amp;"'!$B$3:$E$72"),4,FALSE)),"",VLOOKUP($B43,INDIRECT("'"&amp;AO$2&amp;"'!$B$3:$E$72"),4,FALSE))</f>
        <v>38</v>
      </c>
      <c r="AP43" s="8">
        <f>IF(AO43="","",AO43+AL43)</f>
        <v>694</v>
      </c>
      <c r="AQ43" s="8">
        <f ca="1">IF(AP43="","",RANK(AP43,INDIRECT("AP"&amp;VLOOKUP($A43,$BA$1:$BC$3,2,FALSE)&amp;":AP"&amp;VLOOKUP($A43,$BA$1:$BC$3,3,FALSE)),1))</f>
        <v>40</v>
      </c>
      <c r="AR43" s="9">
        <f>IF(AO43="","",RANK(AP43,AP$4:AP$100,1))</f>
        <v>59</v>
      </c>
      <c r="AT43" s="7">
        <f>SUM(G43,I43,M43,Q43,U43,Y43,AC43,AG43,AK43,AO43)</f>
        <v>694</v>
      </c>
      <c r="AU43" s="8">
        <f ca="1">RANK(AT43,INDIRECT("AT"&amp;VLOOKUP($A43,$BA$1:$BC$3,2,FALSE)&amp;":AT"&amp;VLOOKUP($A43,$BA$1:$BC$3,3,FALSE)),1)</f>
        <v>40</v>
      </c>
      <c r="AV43" s="8">
        <f>RANK(AT43,$AT$4:$AT$100,1)</f>
        <v>59</v>
      </c>
      <c r="AW43" s="7">
        <f>MIN(G43,I43,M43,Q43,U43,Y43,AC43,AG43,AK43,AO43)</f>
        <v>33</v>
      </c>
      <c r="AX43" s="8">
        <f>MAX(G43,I43,M43,Q43,U43,Y43,AC43,AG43,AK43,AO43)</f>
        <v>100</v>
      </c>
      <c r="AY43" s="9">
        <f>MEDIAN(G43,I43,M43,Q43,U43,Y43,AC43,AG43,AK43,AO43)</f>
        <v>75.5</v>
      </c>
    </row>
    <row r="44" spans="1:51" ht="15.75">
      <c r="A44" s="14" t="s">
        <v>0</v>
      </c>
      <c r="B44" s="41">
        <v>64</v>
      </c>
      <c r="C44" s="40" t="str">
        <f>IF(ISBLANK(B44),"",VLOOKUP(B44,Entries!$A$4:$C$65,3,FALSE))</f>
        <v>Benfleet Ladies A</v>
      </c>
      <c r="D44" s="4">
        <f>IF(AT44=0,"",AT44)</f>
        <v>180</v>
      </c>
      <c r="E44" s="5">
        <f ca="1">IF(OR(ISBLANK(D44),D44=0,D44=""),"",RANK(D44,INDIRECT("D"&amp;VLOOKUP($A44,$BA$1:$BC$3,2,FALSE)&amp;":D"&amp;VLOOKUP($A44,$BA$1:$BC$3,3,FALSE)),1))</f>
        <v>1</v>
      </c>
      <c r="F44" s="5">
        <f>IF(OR(ISBLANK(D44),D44=0,D44=""),"",RANK(D44,$D$4:$D$100,1))</f>
        <v>13</v>
      </c>
      <c r="G44" s="4">
        <f ca="1">IF(ISNA(VLOOKUP($B44,INDIRECT("'"&amp;G$2&amp;"'!$B$3:$E$72"),4,FALSE)),"",VLOOKUP($B44,INDIRECT("'"&amp;G$2&amp;"'!$B$3:$E$72"),4,FALSE))</f>
        <v>17</v>
      </c>
      <c r="H44" s="5">
        <f ca="1">IF(G44="","",RANK(G44,INDIRECT("G"&amp;VLOOKUP($A44,$BA$1:$BC$3,2,FALSE)&amp;":G"&amp;VLOOKUP($A44,$BA$1:$BC$3,3,FALSE)),1))</f>
        <v>2</v>
      </c>
      <c r="I44" s="4">
        <f ca="1">IF(ISNA(VLOOKUP($B44,INDIRECT("'"&amp;I$2&amp;"'!$B$3:$E$72"),4,FALSE)),"",VLOOKUP($B44,INDIRECT("'"&amp;I$2&amp;"'!$B$3:$E$72"),4,FALSE))</f>
        <v>12</v>
      </c>
      <c r="J44" s="5">
        <f>IF(I44="","",G44+I44)</f>
        <v>29</v>
      </c>
      <c r="K44" s="5">
        <f ca="1">IF(J44="","",RANK(J44,INDIRECT("J"&amp;VLOOKUP($A44,$BA$1:$BC$3,2,FALSE)&amp;":J"&amp;VLOOKUP($A44,$BA$1:$BC$3,3,FALSE)),1))</f>
        <v>1</v>
      </c>
      <c r="L44" s="6">
        <f>IF(I44="","",RANK(J44,J$4:J$100,1))</f>
        <v>13</v>
      </c>
      <c r="M44" s="4">
        <f ca="1">IF(ISNA(VLOOKUP($B44,INDIRECT("'"&amp;M$2&amp;"'!$B$3:$E$72"),4,FALSE)),"",VLOOKUP($B44,INDIRECT("'"&amp;M$2&amp;"'!$B$3:$E$72"),4,FALSE))</f>
        <v>12</v>
      </c>
      <c r="N44" s="5">
        <f>IF(M44="","",M44+J44)</f>
        <v>41</v>
      </c>
      <c r="O44" s="5">
        <f ca="1">IF(N44="","",RANK(N44,INDIRECT("N"&amp;VLOOKUP($A44,$BA$1:$BC$3,2,FALSE)&amp;":N"&amp;VLOOKUP($A44,$BA$1:$BC$3,3,FALSE)),1))</f>
        <v>1</v>
      </c>
      <c r="P44" s="6">
        <f>IF(M44="","",RANK(N44,N$4:N$100,1))</f>
        <v>10</v>
      </c>
      <c r="Q44" s="4">
        <f ca="1">IF(ISNA(VLOOKUP($B44,INDIRECT("'"&amp;Q$2&amp;"'!$B$3:$E$72"),4,FALSE)),"",VLOOKUP($B44,INDIRECT("'"&amp;Q$2&amp;"'!$B$3:$E$72"),4,FALSE))</f>
        <v>16</v>
      </c>
      <c r="R44" s="5">
        <f>IF(Q44="","",Q44+N44)</f>
        <v>57</v>
      </c>
      <c r="S44" s="5">
        <f ca="1">IF(R44="","",RANK(R44,INDIRECT("R"&amp;VLOOKUP($A44,$BA$1:$BC$3,2,FALSE)&amp;":R"&amp;VLOOKUP($A44,$BA$1:$BC$3,3,FALSE)),1))</f>
        <v>1</v>
      </c>
      <c r="T44" s="6">
        <f>IF(Q44="","",RANK(R44,R$4:R$100,1))</f>
        <v>11</v>
      </c>
      <c r="U44" s="4">
        <f ca="1">IF(ISNA(VLOOKUP($B44,INDIRECT("'"&amp;U$2&amp;"'!$B$3:$E$72"),4,FALSE)),"",VLOOKUP($B44,INDIRECT("'"&amp;U$2&amp;"'!$B$3:$E$72"),4,FALSE))</f>
        <v>28</v>
      </c>
      <c r="V44" s="5">
        <f>IF(U44="","",U44+R44)</f>
        <v>85</v>
      </c>
      <c r="W44" s="5">
        <f ca="1">IF(V44="","",RANK(V44,INDIRECT("V"&amp;VLOOKUP($A44,$BA$1:$BC$3,2,FALSE)&amp;":V"&amp;VLOOKUP($A44,$BA$1:$BC$3,3,FALSE)),1))</f>
        <v>1</v>
      </c>
      <c r="X44" s="6">
        <f>IF(U44="","",RANK(V44,V$4:V$100,1))</f>
        <v>13</v>
      </c>
      <c r="Y44" s="4">
        <f ca="1">IF(ISNA(VLOOKUP($B44,INDIRECT("'"&amp;Y$2&amp;"'!$B$3:$E$72"),4,FALSE)),"",VLOOKUP($B44,INDIRECT("'"&amp;Y$2&amp;"'!$B$3:$E$72"),4,FALSE))</f>
        <v>17</v>
      </c>
      <c r="Z44" s="5">
        <f>IF(Y44="","",Y44+V44)</f>
        <v>102</v>
      </c>
      <c r="AA44" s="5">
        <f ca="1">IF(Z44="","",RANK(Z44,INDIRECT("Z"&amp;VLOOKUP($A44,$BA$1:$BC$3,2,FALSE)&amp;":Z"&amp;VLOOKUP($A44,$BA$1:$BC$3,3,FALSE)),1))</f>
        <v>1</v>
      </c>
      <c r="AB44" s="6">
        <f>IF(Y44="","",RANK(Z44,Z$4:Z$100,1))</f>
        <v>13</v>
      </c>
      <c r="AC44" s="4">
        <f ca="1">IF(ISNA(VLOOKUP($B44,INDIRECT("'"&amp;AC$2&amp;"'!$B$3:$E$72"),4,FALSE)),"",VLOOKUP($B44,INDIRECT("'"&amp;AC$2&amp;"'!$B$3:$E$72"),4,FALSE))</f>
        <v>12</v>
      </c>
      <c r="AD44" s="5">
        <f>IF(AC44="","",AC44+Z44)</f>
        <v>114</v>
      </c>
      <c r="AE44" s="5">
        <f ca="1">IF(AD44="","",RANK(AD44,INDIRECT("AD"&amp;VLOOKUP($A44,$BA$1:$BC$3,2,FALSE)&amp;":AD"&amp;VLOOKUP($A44,$BA$1:$BC$3,3,FALSE)),1))</f>
        <v>1</v>
      </c>
      <c r="AF44" s="6">
        <f>IF(AC44="","",RANK(AD44,AD$4:AD$100,1))</f>
        <v>12</v>
      </c>
      <c r="AG44" s="4">
        <f ca="1">IF(ISNA(VLOOKUP($B44,INDIRECT("'"&amp;AG$2&amp;"'!$B$3:$E$72"),4,FALSE)),"",VLOOKUP($B44,INDIRECT("'"&amp;AG$2&amp;"'!$B$3:$E$72"),4,FALSE))</f>
        <v>22</v>
      </c>
      <c r="AH44" s="5">
        <f>IF(AG44="","",AG44+AD44)</f>
        <v>136</v>
      </c>
      <c r="AI44" s="5">
        <f ca="1">IF(AH44="","",RANK(AH44,INDIRECT("AH"&amp;VLOOKUP($A44,$BA$1:$BC$3,2,FALSE)&amp;":AH"&amp;VLOOKUP($A44,$BA$1:$BC$3,3,FALSE)),1))</f>
        <v>1</v>
      </c>
      <c r="AJ44" s="6">
        <f>IF(AG44="","",RANK(AH44,AH$4:AH$100,1))</f>
        <v>13</v>
      </c>
      <c r="AK44" s="4">
        <f ca="1">IF(ISNA(VLOOKUP($B44,INDIRECT("'"&amp;AK$2&amp;"'!$B$3:$E$72"),4,FALSE)),"",VLOOKUP($B44,INDIRECT("'"&amp;AK$2&amp;"'!$B$3:$E$72"),4,FALSE))</f>
        <v>26</v>
      </c>
      <c r="AL44" s="5">
        <f>IF(AK44="","",AK44+AH44)</f>
        <v>162</v>
      </c>
      <c r="AM44" s="5">
        <f ca="1">IF(AL44="","",RANK(AL44,INDIRECT("AL"&amp;VLOOKUP($A44,$BA$1:$BC$3,2,FALSE)&amp;":AL"&amp;VLOOKUP($A44,$BA$1:$BC$3,3,FALSE)),1))</f>
        <v>1</v>
      </c>
      <c r="AN44" s="6">
        <f>IF(AK44="","",RANK(AL44,AL$4:AL$100,1))</f>
        <v>15</v>
      </c>
      <c r="AO44" s="4">
        <f ca="1">IF(ISNA(VLOOKUP($B44,INDIRECT("'"&amp;AO$2&amp;"'!$B$3:$E$72"),4,FALSE)),"",VLOOKUP($B44,INDIRECT("'"&amp;AO$2&amp;"'!$B$3:$E$72"),4,FALSE))</f>
        <v>18</v>
      </c>
      <c r="AP44" s="5">
        <f>IF(AO44="","",AO44+AL44)</f>
        <v>180</v>
      </c>
      <c r="AQ44" s="5">
        <f ca="1">IF(AP44="","",RANK(AP44,INDIRECT("AP"&amp;VLOOKUP($A44,$BA$1:$BC$3,2,FALSE)&amp;":AP"&amp;VLOOKUP($A44,$BA$1:$BC$3,3,FALSE)),1))</f>
        <v>1</v>
      </c>
      <c r="AR44" s="6">
        <f>IF(AO44="","",RANK(AP44,AP$4:AP$100,1))</f>
        <v>13</v>
      </c>
      <c r="AT44" s="4">
        <f>SUM(G44,I44,M44,Q44,U44,Y44,AC44,AG44,AK44,AO44)</f>
        <v>180</v>
      </c>
      <c r="AU44" s="5">
        <f ca="1">RANK(AT44,INDIRECT("AT"&amp;VLOOKUP($A44,$BA$1:$BC$3,2,FALSE)&amp;":AT"&amp;VLOOKUP($A44,$BA$1:$BC$3,3,FALSE)),1)</f>
        <v>1</v>
      </c>
      <c r="AV44" s="5">
        <f>RANK(AT44,$AT$4:$AT$100,1)</f>
        <v>13</v>
      </c>
      <c r="AW44" s="4">
        <f>MIN(G44,I44,M44,Q44,U44,Y44,AC44,AG44,AK44,AO44)</f>
        <v>12</v>
      </c>
      <c r="AX44" s="5">
        <f>MAX(G44,I44,M44,Q44,U44,Y44,AC44,AG44,AK44,AO44)</f>
        <v>28</v>
      </c>
      <c r="AY44" s="6">
        <f>MEDIAN(G44,I44,M44,Q44,U44,Y44,AC44,AG44,AK44,AO44)</f>
        <v>17</v>
      </c>
    </row>
    <row r="45" spans="1:51" ht="15.75">
      <c r="A45" s="14" t="s">
        <v>0</v>
      </c>
      <c r="B45" s="41">
        <v>69</v>
      </c>
      <c r="C45" s="40" t="str">
        <f>IF(ISBLANK(B45),"",VLOOKUP(B45,Entries!$A$4:$C$65,3,FALSE))</f>
        <v>Southend Ladies</v>
      </c>
      <c r="D45" s="4">
        <f>IF(AT45=0,"",AT45)</f>
        <v>261</v>
      </c>
      <c r="E45" s="5">
        <f ca="1">IF(OR(ISBLANK(D45),D45=0,D45=""),"",RANK(D45,INDIRECT("D"&amp;VLOOKUP($A45,$BA$1:$BC$3,2,FALSE)&amp;":D"&amp;VLOOKUP($A45,$BA$1:$BC$3,3,FALSE)),1))</f>
        <v>2</v>
      </c>
      <c r="F45" s="5">
        <f>IF(OR(ISBLANK(D45),D45=0,D45=""),"",RANK(D45,$D$4:$D$100,1))</f>
        <v>20</v>
      </c>
      <c r="G45" s="4">
        <f ca="1">IF(ISNA(VLOOKUP($B45,INDIRECT("'"&amp;G$2&amp;"'!$B$3:$E$72"),4,FALSE)),"",VLOOKUP($B45,INDIRECT("'"&amp;G$2&amp;"'!$B$3:$E$72"),4,FALSE))</f>
        <v>38</v>
      </c>
      <c r="H45" s="5">
        <f ca="1">IF(G45="","",RANK(G45,INDIRECT("G"&amp;VLOOKUP($A45,$BA$1:$BC$3,2,FALSE)&amp;":G"&amp;VLOOKUP($A45,$BA$1:$BC$3,3,FALSE)),1))</f>
        <v>6</v>
      </c>
      <c r="I45" s="4">
        <f ca="1">IF(ISNA(VLOOKUP($B45,INDIRECT("'"&amp;I$2&amp;"'!$B$3:$E$72"),4,FALSE)),"",VLOOKUP($B45,INDIRECT("'"&amp;I$2&amp;"'!$B$3:$E$72"),4,FALSE))</f>
        <v>17</v>
      </c>
      <c r="J45" s="5">
        <f>IF(I45="","",G45+I45)</f>
        <v>55</v>
      </c>
      <c r="K45" s="5">
        <f ca="1">IF(J45="","",RANK(J45,INDIRECT("J"&amp;VLOOKUP($A45,$BA$1:$BC$3,2,FALSE)&amp;":J"&amp;VLOOKUP($A45,$BA$1:$BC$3,3,FALSE)),1))</f>
        <v>2</v>
      </c>
      <c r="L45" s="6">
        <f>IF(I45="","",RANK(J45,J$4:J$100,1))</f>
        <v>25</v>
      </c>
      <c r="M45" s="4">
        <f ca="1">IF(ISNA(VLOOKUP($B45,INDIRECT("'"&amp;M$2&amp;"'!$B$3:$E$72"),4,FALSE)),"",VLOOKUP($B45,INDIRECT("'"&amp;M$2&amp;"'!$B$3:$E$72"),4,FALSE))</f>
        <v>20</v>
      </c>
      <c r="N45" s="5">
        <f>IF(M45="","",M45+J45)</f>
        <v>75</v>
      </c>
      <c r="O45" s="5">
        <f ca="1">IF(N45="","",RANK(N45,INDIRECT("N"&amp;VLOOKUP($A45,$BA$1:$BC$3,2,FALSE)&amp;":N"&amp;VLOOKUP($A45,$BA$1:$BC$3,3,FALSE)),1))</f>
        <v>2</v>
      </c>
      <c r="P45" s="6">
        <f>IF(M45="","",RANK(N45,N$4:N$100,1))</f>
        <v>21</v>
      </c>
      <c r="Q45" s="4">
        <f ca="1">IF(ISNA(VLOOKUP($B45,INDIRECT("'"&amp;Q$2&amp;"'!$B$3:$E$72"),4,FALSE)),"",VLOOKUP($B45,INDIRECT("'"&amp;Q$2&amp;"'!$B$3:$E$72"),4,FALSE))</f>
        <v>42</v>
      </c>
      <c r="R45" s="5">
        <f>IF(Q45="","",Q45+N45)</f>
        <v>117</v>
      </c>
      <c r="S45" s="5">
        <f ca="1">IF(R45="","",RANK(R45,INDIRECT("R"&amp;VLOOKUP($A45,$BA$1:$BC$3,2,FALSE)&amp;":R"&amp;VLOOKUP($A45,$BA$1:$BC$3,3,FALSE)),1))</f>
        <v>4</v>
      </c>
      <c r="T45" s="6">
        <f>IF(Q45="","",RANK(R45,R$4:R$100,1))</f>
        <v>25</v>
      </c>
      <c r="U45" s="4">
        <f ca="1">IF(ISNA(VLOOKUP($B45,INDIRECT("'"&amp;U$2&amp;"'!$B$3:$E$72"),4,FALSE)),"",VLOOKUP($B45,INDIRECT("'"&amp;U$2&amp;"'!$B$3:$E$72"),4,FALSE))</f>
        <v>38</v>
      </c>
      <c r="V45" s="5">
        <f>IF(U45="","",U45+R45)</f>
        <v>155</v>
      </c>
      <c r="W45" s="5">
        <f ca="1">IF(V45="","",RANK(V45,INDIRECT("V"&amp;VLOOKUP($A45,$BA$1:$BC$3,2,FALSE)&amp;":V"&amp;VLOOKUP($A45,$BA$1:$BC$3,3,FALSE)),1))</f>
        <v>4</v>
      </c>
      <c r="X45" s="6">
        <f>IF(U45="","",RANK(V45,V$4:V$100,1))</f>
        <v>27</v>
      </c>
      <c r="Y45" s="4">
        <f ca="1">IF(ISNA(VLOOKUP($B45,INDIRECT("'"&amp;Y$2&amp;"'!$B$3:$E$72"),4,FALSE)),"",VLOOKUP($B45,INDIRECT("'"&amp;Y$2&amp;"'!$B$3:$E$72"),4,FALSE))</f>
        <v>24</v>
      </c>
      <c r="Z45" s="5">
        <f>IF(Y45="","",Y45+V45)</f>
        <v>179</v>
      </c>
      <c r="AA45" s="5">
        <f ca="1">IF(Z45="","",RANK(Z45,INDIRECT("Z"&amp;VLOOKUP($A45,$BA$1:$BC$3,2,FALSE)&amp;":Z"&amp;VLOOKUP($A45,$BA$1:$BC$3,3,FALSE)),1))</f>
        <v>4</v>
      </c>
      <c r="AB45" s="6">
        <f>IF(Y45="","",RANK(Z45,Z$4:Z$100,1))</f>
        <v>24</v>
      </c>
      <c r="AC45" s="4">
        <f ca="1">IF(ISNA(VLOOKUP($B45,INDIRECT("'"&amp;AC$2&amp;"'!$B$3:$E$72"),4,FALSE)),"",VLOOKUP($B45,INDIRECT("'"&amp;AC$2&amp;"'!$B$3:$E$72"),4,FALSE))</f>
        <v>19</v>
      </c>
      <c r="AD45" s="5">
        <f>IF(AC45="","",AC45+Z45)</f>
        <v>198</v>
      </c>
      <c r="AE45" s="5">
        <f ca="1">IF(AD45="","",RANK(AD45,INDIRECT("AD"&amp;VLOOKUP($A45,$BA$1:$BC$3,2,FALSE)&amp;":AD"&amp;VLOOKUP($A45,$BA$1:$BC$3,3,FALSE)),1))</f>
        <v>2</v>
      </c>
      <c r="AF45" s="6">
        <f>IF(AC45="","",RANK(AD45,AD$4:AD$100,1))</f>
        <v>22</v>
      </c>
      <c r="AG45" s="4">
        <f ca="1">IF(ISNA(VLOOKUP($B45,INDIRECT("'"&amp;AG$2&amp;"'!$B$3:$E$72"),4,FALSE)),"",VLOOKUP($B45,INDIRECT("'"&amp;AG$2&amp;"'!$B$3:$E$72"),4,FALSE))</f>
        <v>23</v>
      </c>
      <c r="AH45" s="5">
        <f>IF(AG45="","",AG45+AD45)</f>
        <v>221</v>
      </c>
      <c r="AI45" s="5">
        <f ca="1">IF(AH45="","",RANK(AH45,INDIRECT("AH"&amp;VLOOKUP($A45,$BA$1:$BC$3,2,FALSE)&amp;":AH"&amp;VLOOKUP($A45,$BA$1:$BC$3,3,FALSE)),1))</f>
        <v>2</v>
      </c>
      <c r="AJ45" s="6">
        <f>IF(AG45="","",RANK(AH45,AH$4:AH$100,1))</f>
        <v>21</v>
      </c>
      <c r="AK45" s="4">
        <f ca="1">IF(ISNA(VLOOKUP($B45,INDIRECT("'"&amp;AK$2&amp;"'!$B$3:$E$72"),4,FALSE)),"",VLOOKUP($B45,INDIRECT("'"&amp;AK$2&amp;"'!$B$3:$E$72"),4,FALSE))</f>
        <v>16</v>
      </c>
      <c r="AL45" s="5">
        <f>IF(AK45="","",AK45+AH45)</f>
        <v>237</v>
      </c>
      <c r="AM45" s="5">
        <f ca="1">IF(AL45="","",RANK(AL45,INDIRECT("AL"&amp;VLOOKUP($A45,$BA$1:$BC$3,2,FALSE)&amp;":AL"&amp;VLOOKUP($A45,$BA$1:$BC$3,3,FALSE)),1))</f>
        <v>2</v>
      </c>
      <c r="AN45" s="6">
        <f>IF(AK45="","",RANK(AL45,AL$4:AL$100,1))</f>
        <v>20</v>
      </c>
      <c r="AO45" s="4">
        <f ca="1">IF(ISNA(VLOOKUP($B45,INDIRECT("'"&amp;AO$2&amp;"'!$B$3:$E$72"),4,FALSE)),"",VLOOKUP($B45,INDIRECT("'"&amp;AO$2&amp;"'!$B$3:$E$72"),4,FALSE))</f>
        <v>24</v>
      </c>
      <c r="AP45" s="5">
        <f>IF(AO45="","",AO45+AL45)</f>
        <v>261</v>
      </c>
      <c r="AQ45" s="5">
        <f ca="1">IF(AP45="","",RANK(AP45,INDIRECT("AP"&amp;VLOOKUP($A45,$BA$1:$BC$3,2,FALSE)&amp;":AP"&amp;VLOOKUP($A45,$BA$1:$BC$3,3,FALSE)),1))</f>
        <v>2</v>
      </c>
      <c r="AR45" s="6">
        <f>IF(AO45="","",RANK(AP45,AP$4:AP$100,1))</f>
        <v>20</v>
      </c>
      <c r="AS45" s="58"/>
      <c r="AT45" s="4">
        <f>SUM(G45,I45,M45,Q45,U45,Y45,AC45,AG45,AK45,AO45)</f>
        <v>261</v>
      </c>
      <c r="AU45" s="5">
        <f ca="1">RANK(AT45,INDIRECT("AT"&amp;VLOOKUP($A45,$BA$1:$BC$3,2,FALSE)&amp;":AT"&amp;VLOOKUP($A45,$BA$1:$BC$3,3,FALSE)),1)</f>
        <v>2</v>
      </c>
      <c r="AV45" s="5">
        <f>RANK(AT45,$AT$4:$AT$100,1)</f>
        <v>20</v>
      </c>
      <c r="AW45" s="4">
        <f>MIN(G45,I45,M45,Q45,U45,Y45,AC45,AG45,AK45,AO45)</f>
        <v>16</v>
      </c>
      <c r="AX45" s="5">
        <f>MAX(G45,I45,M45,Q45,U45,Y45,AC45,AG45,AK45,AO45)</f>
        <v>42</v>
      </c>
      <c r="AY45" s="6">
        <f>MEDIAN(G45,I45,M45,Q45,U45,Y45,AC45,AG45,AK45,AO45)</f>
        <v>23.5</v>
      </c>
    </row>
    <row r="46" spans="1:51" ht="15.75">
      <c r="A46" s="14" t="s">
        <v>0</v>
      </c>
      <c r="B46" s="14">
        <v>57</v>
      </c>
      <c r="C46" s="40" t="str">
        <f>IF(ISBLANK(B46),"",VLOOKUP(B46,Entries!$A$4:$C$65,3,FALSE))</f>
        <v>Springfield Striders Ladies A</v>
      </c>
      <c r="D46" s="4">
        <f>IF(AT46=0,"",AT46)</f>
        <v>304</v>
      </c>
      <c r="E46" s="5">
        <f ca="1">IF(OR(ISBLANK(D46),D46=0,D46=""),"",RANK(D46,INDIRECT("D"&amp;VLOOKUP($A46,$BA$1:$BC$3,2,FALSE)&amp;":D"&amp;VLOOKUP($A46,$BA$1:$BC$3,3,FALSE)),1))</f>
        <v>3</v>
      </c>
      <c r="F46" s="5">
        <f>IF(OR(ISBLANK(D46),D46=0,D46=""),"",RANK(D46,$D$4:$D$100,1))</f>
        <v>24</v>
      </c>
      <c r="G46" s="4">
        <f ca="1">IF(ISNA(VLOOKUP($B46,INDIRECT("'"&amp;G$2&amp;"'!$B$3:$E$72"),4,FALSE)),"",VLOOKUP($B46,INDIRECT("'"&amp;G$2&amp;"'!$B$3:$E$72"),4,FALSE))</f>
        <v>47</v>
      </c>
      <c r="H46" s="5">
        <f ca="1">IF(G46="","",RANK(G46,INDIRECT("G"&amp;VLOOKUP($A46,$BA$1:$BC$3,2,FALSE)&amp;":G"&amp;VLOOKUP($A46,$BA$1:$BC$3,3,FALSE)),1))</f>
        <v>12</v>
      </c>
      <c r="I46" s="4">
        <f ca="1">IF(ISNA(VLOOKUP($B46,INDIRECT("'"&amp;I$2&amp;"'!$B$3:$E$72"),4,FALSE)),"",VLOOKUP($B46,INDIRECT("'"&amp;I$2&amp;"'!$B$3:$E$72"),4,FALSE))</f>
        <v>27</v>
      </c>
      <c r="J46" s="5">
        <f>IF(I46="","",G46+I46)</f>
        <v>74</v>
      </c>
      <c r="K46" s="5">
        <f ca="1">IF(J46="","",RANK(J46,INDIRECT("J"&amp;VLOOKUP($A46,$BA$1:$BC$3,2,FALSE)&amp;":J"&amp;VLOOKUP($A46,$BA$1:$BC$3,3,FALSE)),1))</f>
        <v>6</v>
      </c>
      <c r="L46" s="6">
        <f>IF(I46="","",RANK(J46,J$4:J$100,1))</f>
        <v>35</v>
      </c>
      <c r="M46" s="4">
        <f ca="1">IF(ISNA(VLOOKUP($B46,INDIRECT("'"&amp;M$2&amp;"'!$B$3:$E$72"),4,FALSE)),"",VLOOKUP($B46,INDIRECT("'"&amp;M$2&amp;"'!$B$3:$E$72"),4,FALSE))</f>
        <v>34</v>
      </c>
      <c r="N46" s="5">
        <f>IF(M46="","",M46+J46)</f>
        <v>108</v>
      </c>
      <c r="O46" s="5">
        <f ca="1">IF(N46="","",RANK(N46,INDIRECT("N"&amp;VLOOKUP($A46,$BA$1:$BC$3,2,FALSE)&amp;":N"&amp;VLOOKUP($A46,$BA$1:$BC$3,3,FALSE)),1))</f>
        <v>7</v>
      </c>
      <c r="P46" s="6">
        <f>IF(M46="","",RANK(N46,N$4:N$100,1))</f>
        <v>35</v>
      </c>
      <c r="Q46" s="4">
        <f ca="1">IF(ISNA(VLOOKUP($B46,INDIRECT("'"&amp;Q$2&amp;"'!$B$3:$E$72"),4,FALSE)),"",VLOOKUP($B46,INDIRECT("'"&amp;Q$2&amp;"'!$B$3:$E$72"),4,FALSE))</f>
        <v>28</v>
      </c>
      <c r="R46" s="5">
        <f>IF(Q46="","",Q46+N46)</f>
        <v>136</v>
      </c>
      <c r="S46" s="5">
        <f ca="1">IF(R46="","",RANK(R46,INDIRECT("R"&amp;VLOOKUP($A46,$BA$1:$BC$3,2,FALSE)&amp;":R"&amp;VLOOKUP($A46,$BA$1:$BC$3,3,FALSE)),1))</f>
        <v>6</v>
      </c>
      <c r="T46" s="6">
        <f>IF(Q46="","",RANK(R46,R$4:R$100,1))</f>
        <v>32</v>
      </c>
      <c r="U46" s="4">
        <f ca="1">IF(ISNA(VLOOKUP($B46,INDIRECT("'"&amp;U$2&amp;"'!$B$3:$E$72"),4,FALSE)),"",VLOOKUP($B46,INDIRECT("'"&amp;U$2&amp;"'!$B$3:$E$72"),4,FALSE))</f>
        <v>31</v>
      </c>
      <c r="V46" s="5">
        <f>IF(U46="","",U46+R46)</f>
        <v>167</v>
      </c>
      <c r="W46" s="5">
        <f ca="1">IF(V46="","",RANK(V46,INDIRECT("V"&amp;VLOOKUP($A46,$BA$1:$BC$3,2,FALSE)&amp;":V"&amp;VLOOKUP($A46,$BA$1:$BC$3,3,FALSE)),1))</f>
        <v>7</v>
      </c>
      <c r="X46" s="6">
        <f>IF(U46="","",RANK(V46,V$4:V$100,1))</f>
        <v>31</v>
      </c>
      <c r="Y46" s="4">
        <f ca="1">IF(ISNA(VLOOKUP($B46,INDIRECT("'"&amp;Y$2&amp;"'!$B$3:$E$72"),4,FALSE)),"",VLOOKUP($B46,INDIRECT("'"&amp;Y$2&amp;"'!$B$3:$E$72"),4,FALSE))</f>
        <v>20</v>
      </c>
      <c r="Z46" s="5">
        <f>IF(Y46="","",Y46+V46)</f>
        <v>187</v>
      </c>
      <c r="AA46" s="5">
        <f ca="1">IF(Z46="","",RANK(Z46,INDIRECT("Z"&amp;VLOOKUP($A46,$BA$1:$BC$3,2,FALSE)&amp;":Z"&amp;VLOOKUP($A46,$BA$1:$BC$3,3,FALSE)),1))</f>
        <v>5</v>
      </c>
      <c r="AB46" s="6">
        <f>IF(Y46="","",RANK(Z46,Z$4:Z$100,1))</f>
        <v>27</v>
      </c>
      <c r="AC46" s="4">
        <f ca="1">IF(ISNA(VLOOKUP($B46,INDIRECT("'"&amp;AC$2&amp;"'!$B$3:$E$72"),4,FALSE)),"",VLOOKUP($B46,INDIRECT("'"&amp;AC$2&amp;"'!$B$3:$E$72"),4,FALSE))</f>
        <v>37</v>
      </c>
      <c r="AD46" s="5">
        <f>IF(AC46="","",AC46+Z46)</f>
        <v>224</v>
      </c>
      <c r="AE46" s="5">
        <f ca="1">IF(AD46="","",RANK(AD46,INDIRECT("AD"&amp;VLOOKUP($A46,$BA$1:$BC$3,2,FALSE)&amp;":AD"&amp;VLOOKUP($A46,$BA$1:$BC$3,3,FALSE)),1))</f>
        <v>5</v>
      </c>
      <c r="AF46" s="6">
        <f>IF(AC46="","",RANK(AD46,AD$4:AD$100,1))</f>
        <v>28</v>
      </c>
      <c r="AG46" s="4">
        <f ca="1">IF(ISNA(VLOOKUP($B46,INDIRECT("'"&amp;AG$2&amp;"'!$B$3:$E$72"),4,FALSE)),"",VLOOKUP($B46,INDIRECT("'"&amp;AG$2&amp;"'!$B$3:$E$72"),4,FALSE))</f>
        <v>40</v>
      </c>
      <c r="AH46" s="5">
        <f>IF(AG46="","",AG46+AD46)</f>
        <v>264</v>
      </c>
      <c r="AI46" s="5">
        <f ca="1">IF(AH46="","",RANK(AH46,INDIRECT("AH"&amp;VLOOKUP($A46,$BA$1:$BC$3,2,FALSE)&amp;":AH"&amp;VLOOKUP($A46,$BA$1:$BC$3,3,FALSE)),1))</f>
        <v>5</v>
      </c>
      <c r="AJ46" s="6">
        <f>IF(AG46="","",RANK(AH46,AH$4:AH$100,1))</f>
        <v>30</v>
      </c>
      <c r="AK46" s="4">
        <f ca="1">IF(ISNA(VLOOKUP($B46,INDIRECT("'"&amp;AK$2&amp;"'!$B$3:$E$72"),4,FALSE)),"",VLOOKUP($B46,INDIRECT("'"&amp;AK$2&amp;"'!$B$3:$E$72"),4,FALSE))</f>
        <v>17</v>
      </c>
      <c r="AL46" s="5">
        <f>IF(AK46="","",AK46+AH46)</f>
        <v>281</v>
      </c>
      <c r="AM46" s="5">
        <f ca="1">IF(AL46="","",RANK(AL46,INDIRECT("AL"&amp;VLOOKUP($A46,$BA$1:$BC$3,2,FALSE)&amp;":AL"&amp;VLOOKUP($A46,$BA$1:$BC$3,3,FALSE)),1))</f>
        <v>4</v>
      </c>
      <c r="AN46" s="6">
        <f>IF(AK46="","",RANK(AL46,AL$4:AL$100,1))</f>
        <v>27</v>
      </c>
      <c r="AO46" s="4">
        <f ca="1">IF(ISNA(VLOOKUP($B46,INDIRECT("'"&amp;AO$2&amp;"'!$B$3:$E$72"),4,FALSE)),"",VLOOKUP($B46,INDIRECT("'"&amp;AO$2&amp;"'!$B$3:$E$72"),4,FALSE))</f>
        <v>23</v>
      </c>
      <c r="AP46" s="5">
        <f>IF(AO46="","",AO46+AL46)</f>
        <v>304</v>
      </c>
      <c r="AQ46" s="5">
        <f ca="1">IF(AP46="","",RANK(AP46,INDIRECT("AP"&amp;VLOOKUP($A46,$BA$1:$BC$3,2,FALSE)&amp;":AP"&amp;VLOOKUP($A46,$BA$1:$BC$3,3,FALSE)),1))</f>
        <v>3</v>
      </c>
      <c r="AR46" s="6">
        <f>IF(AO46="","",RANK(AP46,AP$4:AP$100,1))</f>
        <v>24</v>
      </c>
      <c r="AT46" s="4">
        <f>SUM(G46,I46,M46,Q46,U46,Y46,AC46,AG46,AK46,AO46)</f>
        <v>304</v>
      </c>
      <c r="AU46" s="5">
        <f ca="1">RANK(AT46,INDIRECT("AT"&amp;VLOOKUP($A46,$BA$1:$BC$3,2,FALSE)&amp;":AT"&amp;VLOOKUP($A46,$BA$1:$BC$3,3,FALSE)),1)</f>
        <v>3</v>
      </c>
      <c r="AV46" s="5">
        <f>RANK(AT46,$AT$4:$AT$100,1)</f>
        <v>24</v>
      </c>
      <c r="AW46" s="4">
        <f>MIN(G46,I46,M46,Q46,U46,Y46,AC46,AG46,AK46,AO46)</f>
        <v>17</v>
      </c>
      <c r="AX46" s="5">
        <f>MAX(G46,I46,M46,Q46,U46,Y46,AC46,AG46,AK46,AO46)</f>
        <v>47</v>
      </c>
      <c r="AY46" s="6">
        <f>MEDIAN(G46,I46,M46,Q46,U46,Y46,AC46,AG46,AK46,AO46)</f>
        <v>29.5</v>
      </c>
    </row>
    <row r="47" spans="1:51" ht="15.75">
      <c r="A47" s="14" t="s">
        <v>0</v>
      </c>
      <c r="B47" s="41">
        <v>62</v>
      </c>
      <c r="C47" s="40" t="str">
        <f>IF(ISBLANK(B47),"",VLOOKUP(B47,Entries!$A$4:$C$65,3,FALSE))</f>
        <v>Leigh on Sea - Weekend without Make up</v>
      </c>
      <c r="D47" s="4">
        <f>IF(AT47=0,"",AT47)</f>
        <v>310</v>
      </c>
      <c r="E47" s="5">
        <f ca="1">IF(OR(ISBLANK(D47),D47=0,D47=""),"",RANK(D47,INDIRECT("D"&amp;VLOOKUP($A47,$BA$1:$BC$3,2,FALSE)&amp;":D"&amp;VLOOKUP($A47,$BA$1:$BC$3,3,FALSE)),1))</f>
        <v>4</v>
      </c>
      <c r="F47" s="5">
        <f>IF(OR(ISBLANK(D47),D47=0,D47=""),"",RANK(D47,$D$4:$D$100,1))</f>
        <v>26</v>
      </c>
      <c r="G47" s="4">
        <f ca="1">IF(ISNA(VLOOKUP($B47,INDIRECT("'"&amp;G$2&amp;"'!$B$3:$E$72"),4,FALSE)),"",VLOOKUP($B47,INDIRECT("'"&amp;G$2&amp;"'!$B$3:$E$72"),4,FALSE))</f>
        <v>29</v>
      </c>
      <c r="H47" s="5">
        <f ca="1">IF(G47="","",RANK(G47,INDIRECT("G"&amp;VLOOKUP($A47,$BA$1:$BC$3,2,FALSE)&amp;":G"&amp;VLOOKUP($A47,$BA$1:$BC$3,3,FALSE)),1))</f>
        <v>3</v>
      </c>
      <c r="I47" s="4">
        <f ca="1">IF(ISNA(VLOOKUP($B47,INDIRECT("'"&amp;I$2&amp;"'!$B$3:$E$72"),4,FALSE)),"",VLOOKUP($B47,INDIRECT("'"&amp;I$2&amp;"'!$B$3:$E$72"),4,FALSE))</f>
        <v>34</v>
      </c>
      <c r="J47" s="5">
        <f>IF(I47="","",G47+I47)</f>
        <v>63</v>
      </c>
      <c r="K47" s="5">
        <f ca="1">IF(J47="","",RANK(J47,INDIRECT("J"&amp;VLOOKUP($A47,$BA$1:$BC$3,2,FALSE)&amp;":J"&amp;VLOOKUP($A47,$BA$1:$BC$3,3,FALSE)),1))</f>
        <v>5</v>
      </c>
      <c r="L47" s="6">
        <f>IF(I47="","",RANK(J47,J$4:J$100,1))</f>
        <v>31</v>
      </c>
      <c r="M47" s="4">
        <f ca="1">IF(ISNA(VLOOKUP($B47,INDIRECT("'"&amp;M$2&amp;"'!$B$3:$E$72"),4,FALSE)),"",VLOOKUP($B47,INDIRECT("'"&amp;M$2&amp;"'!$B$3:$E$72"),4,FALSE))</f>
        <v>39</v>
      </c>
      <c r="N47" s="5">
        <f>IF(M47="","",M47+J47)</f>
        <v>102</v>
      </c>
      <c r="O47" s="5">
        <f ca="1">IF(N47="","",RANK(N47,INDIRECT("N"&amp;VLOOKUP($A47,$BA$1:$BC$3,2,FALSE)&amp;":N"&amp;VLOOKUP($A47,$BA$1:$BC$3,3,FALSE)),1))</f>
        <v>5</v>
      </c>
      <c r="P47" s="6">
        <f>IF(M47="","",RANK(N47,N$4:N$100,1))</f>
        <v>31</v>
      </c>
      <c r="Q47" s="4">
        <f ca="1">IF(ISNA(VLOOKUP($B47,INDIRECT("'"&amp;Q$2&amp;"'!$B$3:$E$72"),4,FALSE)),"",VLOOKUP($B47,INDIRECT("'"&amp;Q$2&amp;"'!$B$3:$E$72"),4,FALSE))</f>
        <v>22</v>
      </c>
      <c r="R47" s="5">
        <f>IF(Q47="","",Q47+N47)</f>
        <v>124</v>
      </c>
      <c r="S47" s="5">
        <f ca="1">IF(R47="","",RANK(R47,INDIRECT("R"&amp;VLOOKUP($A47,$BA$1:$BC$3,2,FALSE)&amp;":R"&amp;VLOOKUP($A47,$BA$1:$BC$3,3,FALSE)),1))</f>
        <v>5</v>
      </c>
      <c r="T47" s="6">
        <f>IF(Q47="","",RANK(R47,R$4:R$100,1))</f>
        <v>27</v>
      </c>
      <c r="U47" s="4">
        <f ca="1">IF(ISNA(VLOOKUP($B47,INDIRECT("'"&amp;U$2&amp;"'!$B$3:$E$72"),4,FALSE)),"",VLOOKUP($B47,INDIRECT("'"&amp;U$2&amp;"'!$B$3:$E$72"),4,FALSE))</f>
        <v>23</v>
      </c>
      <c r="V47" s="5">
        <f>IF(U47="","",U47+R47)</f>
        <v>147</v>
      </c>
      <c r="W47" s="5">
        <f ca="1">IF(V47="","",RANK(V47,INDIRECT("V"&amp;VLOOKUP($A47,$BA$1:$BC$3,2,FALSE)&amp;":V"&amp;VLOOKUP($A47,$BA$1:$BC$3,3,FALSE)),1))</f>
        <v>3</v>
      </c>
      <c r="X47" s="6">
        <f>IF(U47="","",RANK(V47,V$4:V$100,1))</f>
        <v>25</v>
      </c>
      <c r="Y47" s="4">
        <f ca="1">IF(ISNA(VLOOKUP($B47,INDIRECT("'"&amp;Y$2&amp;"'!$B$3:$E$72"),4,FALSE)),"",VLOOKUP($B47,INDIRECT("'"&amp;Y$2&amp;"'!$B$3:$E$72"),4,FALSE))</f>
        <v>30</v>
      </c>
      <c r="Z47" s="5">
        <f>IF(Y47="","",Y47+V47)</f>
        <v>177</v>
      </c>
      <c r="AA47" s="5">
        <f ca="1">IF(Z47="","",RANK(Z47,INDIRECT("Z"&amp;VLOOKUP($A47,$BA$1:$BC$3,2,FALSE)&amp;":Z"&amp;VLOOKUP($A47,$BA$1:$BC$3,3,FALSE)),1))</f>
        <v>2</v>
      </c>
      <c r="AB47" s="6">
        <f>IF(Y47="","",RANK(Z47,Z$4:Z$100,1))</f>
        <v>22</v>
      </c>
      <c r="AC47" s="4">
        <f ca="1">IF(ISNA(VLOOKUP($B47,INDIRECT("'"&amp;AC$2&amp;"'!$B$3:$E$72"),4,FALSE)),"",VLOOKUP($B47,INDIRECT("'"&amp;AC$2&amp;"'!$B$3:$E$72"),4,FALSE))</f>
        <v>32</v>
      </c>
      <c r="AD47" s="5">
        <f>IF(AC47="","",AC47+Z47)</f>
        <v>209</v>
      </c>
      <c r="AE47" s="5">
        <f ca="1">IF(AD47="","",RANK(AD47,INDIRECT("AD"&amp;VLOOKUP($A47,$BA$1:$BC$3,2,FALSE)&amp;":AD"&amp;VLOOKUP($A47,$BA$1:$BC$3,3,FALSE)),1))</f>
        <v>3</v>
      </c>
      <c r="AF47" s="6">
        <f>IF(AC47="","",RANK(AD47,AD$4:AD$100,1))</f>
        <v>25</v>
      </c>
      <c r="AG47" s="4">
        <f ca="1">IF(ISNA(VLOOKUP($B47,INDIRECT("'"&amp;AG$2&amp;"'!$B$3:$E$72"),4,FALSE)),"",VLOOKUP($B47,INDIRECT("'"&amp;AG$2&amp;"'!$B$3:$E$72"),4,FALSE))</f>
        <v>43</v>
      </c>
      <c r="AH47" s="5">
        <f>IF(AG47="","",AG47+AD47)</f>
        <v>252</v>
      </c>
      <c r="AI47" s="5">
        <f ca="1">IF(AH47="","",RANK(AH47,INDIRECT("AH"&amp;VLOOKUP($A47,$BA$1:$BC$3,2,FALSE)&amp;":AH"&amp;VLOOKUP($A47,$BA$1:$BC$3,3,FALSE)),1))</f>
        <v>4</v>
      </c>
      <c r="AJ47" s="6">
        <f>IF(AG47="","",RANK(AH47,AH$4:AH$100,1))</f>
        <v>29</v>
      </c>
      <c r="AK47" s="4">
        <f ca="1">IF(ISNA(VLOOKUP($B47,INDIRECT("'"&amp;AK$2&amp;"'!$B$3:$E$72"),4,FALSE)),"",VLOOKUP($B47,INDIRECT("'"&amp;AK$2&amp;"'!$B$3:$E$72"),4,FALSE))</f>
        <v>29</v>
      </c>
      <c r="AL47" s="5">
        <f>IF(AK47="","",AK47+AH47)</f>
        <v>281</v>
      </c>
      <c r="AM47" s="5">
        <f ca="1">IF(AL47="","",RANK(AL47,INDIRECT("AL"&amp;VLOOKUP($A47,$BA$1:$BC$3,2,FALSE)&amp;":AL"&amp;VLOOKUP($A47,$BA$1:$BC$3,3,FALSE)),1))</f>
        <v>4</v>
      </c>
      <c r="AN47" s="6">
        <f>IF(AK47="","",RANK(AL47,AL$4:AL$100,1))</f>
        <v>27</v>
      </c>
      <c r="AO47" s="4">
        <f ca="1">IF(ISNA(VLOOKUP($B47,INDIRECT("'"&amp;AO$2&amp;"'!$B$3:$E$72"),4,FALSE)),"",VLOOKUP($B47,INDIRECT("'"&amp;AO$2&amp;"'!$B$3:$E$72"),4,FALSE))</f>
        <v>29</v>
      </c>
      <c r="AP47" s="5">
        <f>IF(AO47="","",AO47+AL47)</f>
        <v>310</v>
      </c>
      <c r="AQ47" s="5">
        <f ca="1">IF(AP47="","",RANK(AP47,INDIRECT("AP"&amp;VLOOKUP($A47,$BA$1:$BC$3,2,FALSE)&amp;":AP"&amp;VLOOKUP($A47,$BA$1:$BC$3,3,FALSE)),1))</f>
        <v>4</v>
      </c>
      <c r="AR47" s="6">
        <f>IF(AO47="","",RANK(AP47,AP$4:AP$100,1))</f>
        <v>26</v>
      </c>
      <c r="AT47" s="4">
        <f>SUM(G47,I47,M47,Q47,U47,Y47,AC47,AG47,AK47,AO47)</f>
        <v>310</v>
      </c>
      <c r="AU47" s="5">
        <f ca="1">RANK(AT47,INDIRECT("AT"&amp;VLOOKUP($A47,$BA$1:$BC$3,2,FALSE)&amp;":AT"&amp;VLOOKUP($A47,$BA$1:$BC$3,3,FALSE)),1)</f>
        <v>4</v>
      </c>
      <c r="AV47" s="5">
        <f>RANK(AT47,$AT$4:$AT$100,1)</f>
        <v>26</v>
      </c>
      <c r="AW47" s="4">
        <f>MIN(G47,I47,M47,Q47,U47,Y47,AC47,AG47,AK47,AO47)</f>
        <v>22</v>
      </c>
      <c r="AX47" s="5">
        <f>MAX(G47,I47,M47,Q47,U47,Y47,AC47,AG47,AK47,AO47)</f>
        <v>43</v>
      </c>
      <c r="AY47" s="6">
        <f>MEDIAN(G47,I47,M47,Q47,U47,Y47,AC47,AG47,AK47,AO47)</f>
        <v>29.5</v>
      </c>
    </row>
    <row r="48" spans="1:51" ht="15.75">
      <c r="A48" s="14" t="s">
        <v>0</v>
      </c>
      <c r="B48" s="41">
        <v>59</v>
      </c>
      <c r="C48" s="40" t="str">
        <f>IF(ISBLANK(B48),"",VLOOKUP(B48,Entries!$A$4:$C$65,3,FALSE))</f>
        <v>Grange Farm Ladies</v>
      </c>
      <c r="D48" s="4">
        <f>IF(AT48=0,"",AT48)</f>
        <v>313</v>
      </c>
      <c r="E48" s="5">
        <f ca="1">IF(OR(ISBLANK(D48),D48=0,D48=""),"",RANK(D48,INDIRECT("D"&amp;VLOOKUP($A48,$BA$1:$BC$3,2,FALSE)&amp;":D"&amp;VLOOKUP($A48,$BA$1:$BC$3,3,FALSE)),1))</f>
        <v>5</v>
      </c>
      <c r="F48" s="5">
        <f>IF(OR(ISBLANK(D48),D48=0,D48=""),"",RANK(D48,$D$4:$D$100,1))</f>
        <v>27</v>
      </c>
      <c r="G48" s="4">
        <f ca="1">IF(ISNA(VLOOKUP($B48,INDIRECT("'"&amp;G$2&amp;"'!$B$3:$E$72"),4,FALSE)),"",VLOOKUP($B48,INDIRECT("'"&amp;G$2&amp;"'!$B$3:$E$72"),4,FALSE))</f>
        <v>16</v>
      </c>
      <c r="H48" s="5">
        <f ca="1">IF(G48="","",RANK(G48,INDIRECT("G"&amp;VLOOKUP($A48,$BA$1:$BC$3,2,FALSE)&amp;":G"&amp;VLOOKUP($A48,$BA$1:$BC$3,3,FALSE)),1))</f>
        <v>1</v>
      </c>
      <c r="I48" s="4">
        <f ca="1">IF(ISNA(VLOOKUP($B48,INDIRECT("'"&amp;I$2&amp;"'!$B$3:$E$72"),4,FALSE)),"",VLOOKUP($B48,INDIRECT("'"&amp;I$2&amp;"'!$B$3:$E$72"),4,FALSE))</f>
        <v>42</v>
      </c>
      <c r="J48" s="5">
        <f>IF(I48="","",G48+I48)</f>
        <v>58</v>
      </c>
      <c r="K48" s="5">
        <f ca="1">IF(J48="","",RANK(J48,INDIRECT("J"&amp;VLOOKUP($A48,$BA$1:$BC$3,2,FALSE)&amp;":J"&amp;VLOOKUP($A48,$BA$1:$BC$3,3,FALSE)),1))</f>
        <v>3</v>
      </c>
      <c r="L48" s="6">
        <f>IF(I48="","",RANK(J48,J$4:J$100,1))</f>
        <v>26</v>
      </c>
      <c r="M48" s="4">
        <f ca="1">IF(ISNA(VLOOKUP($B48,INDIRECT("'"&amp;M$2&amp;"'!$B$3:$E$72"),4,FALSE)),"",VLOOKUP($B48,INDIRECT("'"&amp;M$2&amp;"'!$B$3:$E$72"),4,FALSE))</f>
        <v>27</v>
      </c>
      <c r="N48" s="5">
        <f>IF(M48="","",M48+J48)</f>
        <v>85</v>
      </c>
      <c r="O48" s="5">
        <f ca="1">IF(N48="","",RANK(N48,INDIRECT("N"&amp;VLOOKUP($A48,$BA$1:$BC$3,2,FALSE)&amp;":N"&amp;VLOOKUP($A48,$BA$1:$BC$3,3,FALSE)),1))</f>
        <v>3</v>
      </c>
      <c r="P48" s="6">
        <f>IF(M48="","",RANK(N48,N$4:N$100,1))</f>
        <v>24</v>
      </c>
      <c r="Q48" s="4">
        <f ca="1">IF(ISNA(VLOOKUP($B48,INDIRECT("'"&amp;Q$2&amp;"'!$B$3:$E$72"),4,FALSE)),"",VLOOKUP($B48,INDIRECT("'"&amp;Q$2&amp;"'!$B$3:$E$72"),4,FALSE))</f>
        <v>26</v>
      </c>
      <c r="R48" s="5">
        <f>IF(Q48="","",Q48+N48)</f>
        <v>111</v>
      </c>
      <c r="S48" s="5">
        <f ca="1">IF(R48="","",RANK(R48,INDIRECT("R"&amp;VLOOKUP($A48,$BA$1:$BC$3,2,FALSE)&amp;":R"&amp;VLOOKUP($A48,$BA$1:$BC$3,3,FALSE)),1))</f>
        <v>2</v>
      </c>
      <c r="T48" s="6">
        <f>IF(Q48="","",RANK(R48,R$4:R$100,1))</f>
        <v>21</v>
      </c>
      <c r="U48" s="4">
        <f ca="1">IF(ISNA(VLOOKUP($B48,INDIRECT("'"&amp;U$2&amp;"'!$B$3:$E$72"),4,FALSE)),"",VLOOKUP($B48,INDIRECT("'"&amp;U$2&amp;"'!$B$3:$E$72"),4,FALSE))</f>
        <v>30</v>
      </c>
      <c r="V48" s="5">
        <f>IF(U48="","",U48+R48)</f>
        <v>141</v>
      </c>
      <c r="W48" s="5">
        <f ca="1">IF(V48="","",RANK(V48,INDIRECT("V"&amp;VLOOKUP($A48,$BA$1:$BC$3,2,FALSE)&amp;":V"&amp;VLOOKUP($A48,$BA$1:$BC$3,3,FALSE)),1))</f>
        <v>2</v>
      </c>
      <c r="X48" s="6">
        <f>IF(U48="","",RANK(V48,V$4:V$100,1))</f>
        <v>21</v>
      </c>
      <c r="Y48" s="4">
        <f ca="1">IF(ISNA(VLOOKUP($B48,INDIRECT("'"&amp;Y$2&amp;"'!$B$3:$E$72"),4,FALSE)),"",VLOOKUP($B48,INDIRECT("'"&amp;Y$2&amp;"'!$B$3:$E$72"),4,FALSE))</f>
        <v>37</v>
      </c>
      <c r="Z48" s="5">
        <f>IF(Y48="","",Y48+V48)</f>
        <v>178</v>
      </c>
      <c r="AA48" s="5">
        <f ca="1">IF(Z48="","",RANK(Z48,INDIRECT("Z"&amp;VLOOKUP($A48,$BA$1:$BC$3,2,FALSE)&amp;":Z"&amp;VLOOKUP($A48,$BA$1:$BC$3,3,FALSE)),1))</f>
        <v>3</v>
      </c>
      <c r="AB48" s="6">
        <f>IF(Y48="","",RANK(Z48,Z$4:Z$100,1))</f>
        <v>23</v>
      </c>
      <c r="AC48" s="4">
        <f ca="1">IF(ISNA(VLOOKUP($B48,INDIRECT("'"&amp;AC$2&amp;"'!$B$3:$E$72"),4,FALSE)),"",VLOOKUP($B48,INDIRECT("'"&amp;AC$2&amp;"'!$B$3:$E$72"),4,FALSE))</f>
        <v>35</v>
      </c>
      <c r="AD48" s="5">
        <f>IF(AC48="","",AC48+Z48)</f>
        <v>213</v>
      </c>
      <c r="AE48" s="5">
        <f ca="1">IF(AD48="","",RANK(AD48,INDIRECT("AD"&amp;VLOOKUP($A48,$BA$1:$BC$3,2,FALSE)&amp;":AD"&amp;VLOOKUP($A48,$BA$1:$BC$3,3,FALSE)),1))</f>
        <v>4</v>
      </c>
      <c r="AF48" s="6">
        <f>IF(AC48="","",RANK(AD48,AD$4:AD$100,1))</f>
        <v>26</v>
      </c>
      <c r="AG48" s="4">
        <f ca="1">IF(ISNA(VLOOKUP($B48,INDIRECT("'"&amp;AG$2&amp;"'!$B$3:$E$72"),4,FALSE)),"",VLOOKUP($B48,INDIRECT("'"&amp;AG$2&amp;"'!$B$3:$E$72"),4,FALSE))</f>
        <v>38</v>
      </c>
      <c r="AH48" s="5">
        <f>IF(AG48="","",AG48+AD48)</f>
        <v>251</v>
      </c>
      <c r="AI48" s="5">
        <f ca="1">IF(AH48="","",RANK(AH48,INDIRECT("AH"&amp;VLOOKUP($A48,$BA$1:$BC$3,2,FALSE)&amp;":AH"&amp;VLOOKUP($A48,$BA$1:$BC$3,3,FALSE)),1))</f>
        <v>3</v>
      </c>
      <c r="AJ48" s="6">
        <f>IF(AG48="","",RANK(AH48,AH$4:AH$100,1))</f>
        <v>28</v>
      </c>
      <c r="AK48" s="4">
        <f ca="1">IF(ISNA(VLOOKUP($B48,INDIRECT("'"&amp;AK$2&amp;"'!$B$3:$E$72"),4,FALSE)),"",VLOOKUP($B48,INDIRECT("'"&amp;AK$2&amp;"'!$B$3:$E$72"),4,FALSE))</f>
        <v>25</v>
      </c>
      <c r="AL48" s="5">
        <f>IF(AK48="","",AK48+AH48)</f>
        <v>276</v>
      </c>
      <c r="AM48" s="5">
        <f ca="1">IF(AL48="","",RANK(AL48,INDIRECT("AL"&amp;VLOOKUP($A48,$BA$1:$BC$3,2,FALSE)&amp;":AL"&amp;VLOOKUP($A48,$BA$1:$BC$3,3,FALSE)),1))</f>
        <v>3</v>
      </c>
      <c r="AN48" s="6">
        <f>IF(AK48="","",RANK(AL48,AL$4:AL$100,1))</f>
        <v>25</v>
      </c>
      <c r="AO48" s="4">
        <f ca="1">IF(ISNA(VLOOKUP($B48,INDIRECT("'"&amp;AO$2&amp;"'!$B$3:$E$72"),4,FALSE)),"",VLOOKUP($B48,INDIRECT("'"&amp;AO$2&amp;"'!$B$3:$E$72"),4,FALSE))</f>
        <v>37</v>
      </c>
      <c r="AP48" s="5">
        <f>IF(AO48="","",AO48+AL48)</f>
        <v>313</v>
      </c>
      <c r="AQ48" s="5">
        <f ca="1">IF(AP48="","",RANK(AP48,INDIRECT("AP"&amp;VLOOKUP($A48,$BA$1:$BC$3,2,FALSE)&amp;":AP"&amp;VLOOKUP($A48,$BA$1:$BC$3,3,FALSE)),1))</f>
        <v>5</v>
      </c>
      <c r="AR48" s="6">
        <f>IF(AO48="","",RANK(AP48,AP$4:AP$100,1))</f>
        <v>27</v>
      </c>
      <c r="AT48" s="4">
        <f>SUM(G48,I48,M48,Q48,U48,Y48,AC48,AG48,AK48,AO48)</f>
        <v>313</v>
      </c>
      <c r="AU48" s="5">
        <f ca="1">RANK(AT48,INDIRECT("AT"&amp;VLOOKUP($A48,$BA$1:$BC$3,2,FALSE)&amp;":AT"&amp;VLOOKUP($A48,$BA$1:$BC$3,3,FALSE)),1)</f>
        <v>5</v>
      </c>
      <c r="AV48" s="5">
        <f>RANK(AT48,$AT$4:$AT$100,1)</f>
        <v>27</v>
      </c>
      <c r="AW48" s="4">
        <f>MIN(G48,I48,M48,Q48,U48,Y48,AC48,AG48,AK48,AO48)</f>
        <v>16</v>
      </c>
      <c r="AX48" s="5">
        <f>MAX(G48,I48,M48,Q48,U48,Y48,AC48,AG48,AK48,AO48)</f>
        <v>42</v>
      </c>
      <c r="AY48" s="6">
        <f>MEDIAN(G48,I48,M48,Q48,U48,Y48,AC48,AG48,AK48,AO48)</f>
        <v>32.5</v>
      </c>
    </row>
    <row r="49" spans="1:51" ht="15.75">
      <c r="A49" s="14" t="s">
        <v>0</v>
      </c>
      <c r="B49" s="41">
        <v>65</v>
      </c>
      <c r="C49" s="40" t="str">
        <f>IF(ISBLANK(B49),"",VLOOKUP(B49,Entries!$A$4:$C$65,3,FALSE))</f>
        <v>Benfleet Ladies B</v>
      </c>
      <c r="D49" s="4">
        <f>IF(AT49=0,"",AT49)</f>
        <v>332</v>
      </c>
      <c r="E49" s="5">
        <f ca="1">IF(OR(ISBLANK(D49),D49=0,D49=""),"",RANK(D49,INDIRECT("D"&amp;VLOOKUP($A49,$BA$1:$BC$3,2,FALSE)&amp;":D"&amp;VLOOKUP($A49,$BA$1:$BC$3,3,FALSE)),1))</f>
        <v>6</v>
      </c>
      <c r="F49" s="5">
        <f>IF(OR(ISBLANK(D49),D49=0,D49=""),"",RANK(D49,$D$4:$D$100,1))</f>
        <v>31</v>
      </c>
      <c r="G49" s="4">
        <f ca="1">IF(ISNA(VLOOKUP($B49,INDIRECT("'"&amp;G$2&amp;"'!$B$3:$E$72"),4,FALSE)),"",VLOOKUP($B49,INDIRECT("'"&amp;G$2&amp;"'!$B$3:$E$72"),4,FALSE))</f>
        <v>41</v>
      </c>
      <c r="H49" s="5">
        <f ca="1">IF(G49="","",RANK(G49,INDIRECT("G"&amp;VLOOKUP($A49,$BA$1:$BC$3,2,FALSE)&amp;":G"&amp;VLOOKUP($A49,$BA$1:$BC$3,3,FALSE)),1))</f>
        <v>8</v>
      </c>
      <c r="I49" s="4">
        <f ca="1">IF(ISNA(VLOOKUP($B49,INDIRECT("'"&amp;I$2&amp;"'!$B$3:$E$72"),4,FALSE)),"",VLOOKUP($B49,INDIRECT("'"&amp;I$2&amp;"'!$B$3:$E$72"),4,FALSE))</f>
        <v>33</v>
      </c>
      <c r="J49" s="5">
        <f>IF(I49="","",G49+I49)</f>
        <v>74</v>
      </c>
      <c r="K49" s="5">
        <f ca="1">IF(J49="","",RANK(J49,INDIRECT("J"&amp;VLOOKUP($A49,$BA$1:$BC$3,2,FALSE)&amp;":J"&amp;VLOOKUP($A49,$BA$1:$BC$3,3,FALSE)),1))</f>
        <v>6</v>
      </c>
      <c r="L49" s="6">
        <f>IF(I49="","",RANK(J49,J$4:J$100,1))</f>
        <v>35</v>
      </c>
      <c r="M49" s="4">
        <f ca="1">IF(ISNA(VLOOKUP($B49,INDIRECT("'"&amp;M$2&amp;"'!$B$3:$E$72"),4,FALSE)),"",VLOOKUP($B49,INDIRECT("'"&amp;M$2&amp;"'!$B$3:$E$72"),4,FALSE))</f>
        <v>31</v>
      </c>
      <c r="N49" s="5">
        <f>IF(M49="","",M49+J49)</f>
        <v>105</v>
      </c>
      <c r="O49" s="5">
        <f ca="1">IF(N49="","",RANK(N49,INDIRECT("N"&amp;VLOOKUP($A49,$BA$1:$BC$3,2,FALSE)&amp;":N"&amp;VLOOKUP($A49,$BA$1:$BC$3,3,FALSE)),1))</f>
        <v>6</v>
      </c>
      <c r="P49" s="6">
        <f>IF(M49="","",RANK(N49,N$4:N$100,1))</f>
        <v>32</v>
      </c>
      <c r="Q49" s="4">
        <f ca="1">IF(ISNA(VLOOKUP($B49,INDIRECT("'"&amp;Q$2&amp;"'!$B$3:$E$72"),4,FALSE)),"",VLOOKUP($B49,INDIRECT("'"&amp;Q$2&amp;"'!$B$3:$E$72"),4,FALSE))</f>
        <v>47</v>
      </c>
      <c r="R49" s="5">
        <f>IF(Q49="","",Q49+N49)</f>
        <v>152</v>
      </c>
      <c r="S49" s="5">
        <f ca="1">IF(R49="","",RANK(R49,INDIRECT("R"&amp;VLOOKUP($A49,$BA$1:$BC$3,2,FALSE)&amp;":R"&amp;VLOOKUP($A49,$BA$1:$BC$3,3,FALSE)),1))</f>
        <v>8</v>
      </c>
      <c r="T49" s="6">
        <f>IF(Q49="","",RANK(R49,R$4:R$100,1))</f>
        <v>36</v>
      </c>
      <c r="U49" s="4">
        <f ca="1">IF(ISNA(VLOOKUP($B49,INDIRECT("'"&amp;U$2&amp;"'!$B$3:$E$72"),4,FALSE)),"",VLOOKUP($B49,INDIRECT("'"&amp;U$2&amp;"'!$B$3:$E$72"),4,FALSE))</f>
        <v>37</v>
      </c>
      <c r="V49" s="5">
        <f>IF(U49="","",U49+R49)</f>
        <v>189</v>
      </c>
      <c r="W49" s="5">
        <f ca="1">IF(V49="","",RANK(V49,INDIRECT("V"&amp;VLOOKUP($A49,$BA$1:$BC$3,2,FALSE)&amp;":V"&amp;VLOOKUP($A49,$BA$1:$BC$3,3,FALSE)),1))</f>
        <v>9</v>
      </c>
      <c r="X49" s="6">
        <f>IF(U49="","",RANK(V49,V$4:V$100,1))</f>
        <v>39</v>
      </c>
      <c r="Y49" s="4">
        <f ca="1">IF(ISNA(VLOOKUP($B49,INDIRECT("'"&amp;Y$2&amp;"'!$B$3:$E$72"),4,FALSE)),"",VLOOKUP($B49,INDIRECT("'"&amp;Y$2&amp;"'!$B$3:$E$72"),4,FALSE))</f>
        <v>32</v>
      </c>
      <c r="Z49" s="5">
        <f>IF(Y49="","",Y49+V49)</f>
        <v>221</v>
      </c>
      <c r="AA49" s="5">
        <f ca="1">IF(Z49="","",RANK(Z49,INDIRECT("Z"&amp;VLOOKUP($A49,$BA$1:$BC$3,2,FALSE)&amp;":Z"&amp;VLOOKUP($A49,$BA$1:$BC$3,3,FALSE)),1))</f>
        <v>8</v>
      </c>
      <c r="AB49" s="6">
        <f>IF(Y49="","",RANK(Z49,Z$4:Z$100,1))</f>
        <v>38</v>
      </c>
      <c r="AC49" s="4">
        <f ca="1">IF(ISNA(VLOOKUP($B49,INDIRECT("'"&amp;AC$2&amp;"'!$B$3:$E$72"),4,FALSE)),"",VLOOKUP($B49,INDIRECT("'"&amp;AC$2&amp;"'!$B$3:$E$72"),4,FALSE))</f>
        <v>13</v>
      </c>
      <c r="AD49" s="5">
        <f>IF(AC49="","",AC49+Z49)</f>
        <v>234</v>
      </c>
      <c r="AE49" s="5">
        <f ca="1">IF(AD49="","",RANK(AD49,INDIRECT("AD"&amp;VLOOKUP($A49,$BA$1:$BC$3,2,FALSE)&amp;":AD"&amp;VLOOKUP($A49,$BA$1:$BC$3,3,FALSE)),1))</f>
        <v>6</v>
      </c>
      <c r="AF49" s="6">
        <f>IF(AC49="","",RANK(AD49,AD$4:AD$100,1))</f>
        <v>31</v>
      </c>
      <c r="AG49" s="4">
        <f ca="1">IF(ISNA(VLOOKUP($B49,INDIRECT("'"&amp;AG$2&amp;"'!$B$3:$E$72"),4,FALSE)),"",VLOOKUP($B49,INDIRECT("'"&amp;AG$2&amp;"'!$B$3:$E$72"),4,FALSE))</f>
        <v>35</v>
      </c>
      <c r="AH49" s="5">
        <f>IF(AG49="","",AG49+AD49)</f>
        <v>269</v>
      </c>
      <c r="AI49" s="5">
        <f ca="1">IF(AH49="","",RANK(AH49,INDIRECT("AH"&amp;VLOOKUP($A49,$BA$1:$BC$3,2,FALSE)&amp;":AH"&amp;VLOOKUP($A49,$BA$1:$BC$3,3,FALSE)),1))</f>
        <v>6</v>
      </c>
      <c r="AJ49" s="6">
        <f>IF(AG49="","",RANK(AH49,AH$4:AH$100,1))</f>
        <v>31</v>
      </c>
      <c r="AK49" s="4">
        <f ca="1">IF(ISNA(VLOOKUP($B49,INDIRECT("'"&amp;AK$2&amp;"'!$B$3:$E$72"),4,FALSE)),"",VLOOKUP($B49,INDIRECT("'"&amp;AK$2&amp;"'!$B$3:$E$72"),4,FALSE))</f>
        <v>30</v>
      </c>
      <c r="AL49" s="5">
        <f>IF(AK49="","",AK49+AH49)</f>
        <v>299</v>
      </c>
      <c r="AM49" s="5">
        <f ca="1">IF(AL49="","",RANK(AL49,INDIRECT("AL"&amp;VLOOKUP($A49,$BA$1:$BC$3,2,FALSE)&amp;":AL"&amp;VLOOKUP($A49,$BA$1:$BC$3,3,FALSE)),1))</f>
        <v>6</v>
      </c>
      <c r="AN49" s="6">
        <f>IF(AK49="","",RANK(AL49,AL$4:AL$100,1))</f>
        <v>32</v>
      </c>
      <c r="AO49" s="4">
        <f ca="1">IF(ISNA(VLOOKUP($B49,INDIRECT("'"&amp;AO$2&amp;"'!$B$3:$E$72"),4,FALSE)),"",VLOOKUP($B49,INDIRECT("'"&amp;AO$2&amp;"'!$B$3:$E$72"),4,FALSE))</f>
        <v>33</v>
      </c>
      <c r="AP49" s="5">
        <f>IF(AO49="","",AO49+AL49)</f>
        <v>332</v>
      </c>
      <c r="AQ49" s="5">
        <f ca="1">IF(AP49="","",RANK(AP49,INDIRECT("AP"&amp;VLOOKUP($A49,$BA$1:$BC$3,2,FALSE)&amp;":AP"&amp;VLOOKUP($A49,$BA$1:$BC$3,3,FALSE)),1))</f>
        <v>6</v>
      </c>
      <c r="AR49" s="6">
        <f>IF(AO49="","",RANK(AP49,AP$4:AP$100,1))</f>
        <v>31</v>
      </c>
      <c r="AT49" s="4">
        <f>SUM(G49,I49,M49,Q49,U49,Y49,AC49,AG49,AK49,AO49)</f>
        <v>332</v>
      </c>
      <c r="AU49" s="5">
        <f ca="1">RANK(AT49,INDIRECT("AT"&amp;VLOOKUP($A49,$BA$1:$BC$3,2,FALSE)&amp;":AT"&amp;VLOOKUP($A49,$BA$1:$BC$3,3,FALSE)),1)</f>
        <v>6</v>
      </c>
      <c r="AV49" s="5">
        <f>RANK(AT49,$AT$4:$AT$100,1)</f>
        <v>31</v>
      </c>
      <c r="AW49" s="4">
        <f>MIN(G49,I49,M49,Q49,U49,Y49,AC49,AG49,AK49,AO49)</f>
        <v>13</v>
      </c>
      <c r="AX49" s="5">
        <f>MAX(G49,I49,M49,Q49,U49,Y49,AC49,AG49,AK49,AO49)</f>
        <v>47</v>
      </c>
      <c r="AY49" s="6">
        <f>MEDIAN(G49,I49,M49,Q49,U49,Y49,AC49,AG49,AK49,AO49)</f>
        <v>33</v>
      </c>
    </row>
    <row r="50" spans="1:51" ht="15.75">
      <c r="A50" s="14" t="s">
        <v>0</v>
      </c>
      <c r="B50" s="41">
        <v>61</v>
      </c>
      <c r="C50" s="50" t="str">
        <f>IF(ISBLANK(B50),"",VLOOKUP(B50,Entries!$A$4:$C$65,3,FALSE))</f>
        <v>East Essex Tri Women</v>
      </c>
      <c r="D50" s="4">
        <f>IF(AT50=0,"",AT50)</f>
        <v>348</v>
      </c>
      <c r="E50" s="5">
        <f ca="1">IF(OR(ISBLANK(D50),D50=0,D50=""),"",RANK(D50,INDIRECT("D"&amp;VLOOKUP($A50,$BA$1:$BC$3,2,FALSE)&amp;":D"&amp;VLOOKUP($A50,$BA$1:$BC$3,3,FALSE)),1))</f>
        <v>7</v>
      </c>
      <c r="F50" s="5">
        <f>IF(OR(ISBLANK(D50),D50=0,D50=""),"",RANK(D50,$D$4:$D$100,1))</f>
        <v>33</v>
      </c>
      <c r="G50" s="4">
        <f ca="1">IF(ISNA(VLOOKUP($B50,INDIRECT("'"&amp;G$2&amp;"'!$B$3:$E$72"),4,FALSE)),"",VLOOKUP($B50,INDIRECT("'"&amp;G$2&amp;"'!$B$3:$E$72"),4,FALSE))</f>
        <v>32</v>
      </c>
      <c r="H50" s="5">
        <f ca="1">IF(G50="","",RANK(G50,INDIRECT("G"&amp;VLOOKUP($A50,$BA$1:$BC$3,2,FALSE)&amp;":G"&amp;VLOOKUP($A50,$BA$1:$BC$3,3,FALSE)),1))</f>
        <v>5</v>
      </c>
      <c r="I50" s="4">
        <f ca="1">IF(ISNA(VLOOKUP($B50,INDIRECT("'"&amp;I$2&amp;"'!$B$3:$E$72"),4,FALSE)),"",VLOOKUP($B50,INDIRECT("'"&amp;I$2&amp;"'!$B$3:$E$72"),4,FALSE))</f>
        <v>56</v>
      </c>
      <c r="J50" s="5">
        <f>IF(I50="","",G50+I50)</f>
        <v>88</v>
      </c>
      <c r="K50" s="5">
        <f ca="1">IF(J50="","",RANK(J50,INDIRECT("J"&amp;VLOOKUP($A50,$BA$1:$BC$3,2,FALSE)&amp;":J"&amp;VLOOKUP($A50,$BA$1:$BC$3,3,FALSE)),1))</f>
        <v>10</v>
      </c>
      <c r="L50" s="6">
        <f>IF(I50="","",RANK(J50,J$4:J$100,1))</f>
        <v>43</v>
      </c>
      <c r="M50" s="4">
        <f ca="1">IF(ISNA(VLOOKUP($B50,INDIRECT("'"&amp;M$2&amp;"'!$B$3:$E$72"),4,FALSE)),"",VLOOKUP($B50,INDIRECT("'"&amp;M$2&amp;"'!$B$3:$E$72"),4,FALSE))</f>
        <v>22</v>
      </c>
      <c r="N50" s="5">
        <f>IF(M50="","",M50+J50)</f>
        <v>110</v>
      </c>
      <c r="O50" s="5">
        <f ca="1">IF(N50="","",RANK(N50,INDIRECT("N"&amp;VLOOKUP($A50,$BA$1:$BC$3,2,FALSE)&amp;":N"&amp;VLOOKUP($A50,$BA$1:$BC$3,3,FALSE)),1))</f>
        <v>8</v>
      </c>
      <c r="P50" s="6">
        <f>IF(M50="","",RANK(N50,N$4:N$100,1))</f>
        <v>37</v>
      </c>
      <c r="Q50" s="4">
        <f ca="1">IF(ISNA(VLOOKUP($B50,INDIRECT("'"&amp;Q$2&amp;"'!$B$3:$E$72"),4,FALSE)),"",VLOOKUP($B50,INDIRECT("'"&amp;Q$2&amp;"'!$B$3:$E$72"),4,FALSE))</f>
        <v>38</v>
      </c>
      <c r="R50" s="5">
        <f>IF(Q50="","",Q50+N50)</f>
        <v>148</v>
      </c>
      <c r="S50" s="5">
        <f ca="1">IF(R50="","",RANK(R50,INDIRECT("R"&amp;VLOOKUP($A50,$BA$1:$BC$3,2,FALSE)&amp;":R"&amp;VLOOKUP($A50,$BA$1:$BC$3,3,FALSE)),1))</f>
        <v>7</v>
      </c>
      <c r="T50" s="6">
        <f>IF(Q50="","",RANK(R50,R$4:R$100,1))</f>
        <v>34</v>
      </c>
      <c r="U50" s="4">
        <f ca="1">IF(ISNA(VLOOKUP($B50,INDIRECT("'"&amp;U$2&amp;"'!$B$3:$E$72"),4,FALSE)),"",VLOOKUP($B50,INDIRECT("'"&amp;U$2&amp;"'!$B$3:$E$72"),4,FALSE))</f>
        <v>15</v>
      </c>
      <c r="V50" s="5">
        <f>IF(U50="","",U50+R50)</f>
        <v>163</v>
      </c>
      <c r="W50" s="5">
        <f ca="1">IF(V50="","",RANK(V50,INDIRECT("V"&amp;VLOOKUP($A50,$BA$1:$BC$3,2,FALSE)&amp;":V"&amp;VLOOKUP($A50,$BA$1:$BC$3,3,FALSE)),1))</f>
        <v>5</v>
      </c>
      <c r="X50" s="6">
        <f>IF(U50="","",RANK(V50,V$4:V$100,1))</f>
        <v>28</v>
      </c>
      <c r="Y50" s="4">
        <f ca="1">IF(ISNA(VLOOKUP($B50,INDIRECT("'"&amp;Y$2&amp;"'!$B$3:$E$72"),4,FALSE)),"",VLOOKUP($B50,INDIRECT("'"&amp;Y$2&amp;"'!$B$3:$E$72"),4,FALSE))</f>
        <v>43</v>
      </c>
      <c r="Z50" s="5">
        <f>IF(Y50="","",Y50+V50)</f>
        <v>206</v>
      </c>
      <c r="AA50" s="5">
        <f ca="1">IF(Z50="","",RANK(Z50,INDIRECT("Z"&amp;VLOOKUP($A50,$BA$1:$BC$3,2,FALSE)&amp;":Z"&amp;VLOOKUP($A50,$BA$1:$BC$3,3,FALSE)),1))</f>
        <v>6</v>
      </c>
      <c r="AB50" s="6">
        <f>IF(Y50="","",RANK(Z50,Z$4:Z$100,1))</f>
        <v>30</v>
      </c>
      <c r="AC50" s="4">
        <f ca="1">IF(ISNA(VLOOKUP($B50,INDIRECT("'"&amp;AC$2&amp;"'!$B$3:$E$72"),4,FALSE)),"",VLOOKUP($B50,INDIRECT("'"&amp;AC$2&amp;"'!$B$3:$E$72"),4,FALSE))</f>
        <v>47</v>
      </c>
      <c r="AD50" s="5">
        <f>IF(AC50="","",AC50+Z50)</f>
        <v>253</v>
      </c>
      <c r="AE50" s="5">
        <f ca="1">IF(AD50="","",RANK(AD50,INDIRECT("AD"&amp;VLOOKUP($A50,$BA$1:$BC$3,2,FALSE)&amp;":AD"&amp;VLOOKUP($A50,$BA$1:$BC$3,3,FALSE)),1))</f>
        <v>7</v>
      </c>
      <c r="AF50" s="6">
        <f>IF(AC50="","",RANK(AD50,AD$4:AD$100,1))</f>
        <v>34</v>
      </c>
      <c r="AG50" s="4">
        <f ca="1">IF(ISNA(VLOOKUP($B50,INDIRECT("'"&amp;AG$2&amp;"'!$B$3:$E$72"),4,FALSE)),"",VLOOKUP($B50,INDIRECT("'"&amp;AG$2&amp;"'!$B$3:$E$72"),4,FALSE))</f>
        <v>45</v>
      </c>
      <c r="AH50" s="5">
        <f>IF(AG50="","",AG50+AD50)</f>
        <v>298</v>
      </c>
      <c r="AI50" s="5">
        <f ca="1">IF(AH50="","",RANK(AH50,INDIRECT("AH"&amp;VLOOKUP($A50,$BA$1:$BC$3,2,FALSE)&amp;":AH"&amp;VLOOKUP($A50,$BA$1:$BC$3,3,FALSE)),1))</f>
        <v>8</v>
      </c>
      <c r="AJ50" s="6">
        <f>IF(AG50="","",RANK(AH50,AH$4:AH$100,1))</f>
        <v>40</v>
      </c>
      <c r="AK50" s="4">
        <f ca="1">IF(ISNA(VLOOKUP($B50,INDIRECT("'"&amp;AK$2&amp;"'!$B$3:$E$72"),4,FALSE)),"",VLOOKUP($B50,INDIRECT("'"&amp;AK$2&amp;"'!$B$3:$E$72"),4,FALSE))</f>
        <v>23</v>
      </c>
      <c r="AL50" s="5">
        <f>IF(AK50="","",AK50+AH50)</f>
        <v>321</v>
      </c>
      <c r="AM50" s="5">
        <f ca="1">IF(AL50="","",RANK(AL50,INDIRECT("AL"&amp;VLOOKUP($A50,$BA$1:$BC$3,2,FALSE)&amp;":AL"&amp;VLOOKUP($A50,$BA$1:$BC$3,3,FALSE)),1))</f>
        <v>7</v>
      </c>
      <c r="AN50" s="6">
        <f>IF(AK50="","",RANK(AL50,AL$4:AL$100,1))</f>
        <v>34</v>
      </c>
      <c r="AO50" s="4">
        <f ca="1">IF(ISNA(VLOOKUP($B50,INDIRECT("'"&amp;AO$2&amp;"'!$B$3:$E$72"),4,FALSE)),"",VLOOKUP($B50,INDIRECT("'"&amp;AO$2&amp;"'!$B$3:$E$72"),4,FALSE))</f>
        <v>27</v>
      </c>
      <c r="AP50" s="5">
        <f>IF(AO50="","",AO50+AL50)</f>
        <v>348</v>
      </c>
      <c r="AQ50" s="5">
        <f ca="1">IF(AP50="","",RANK(AP50,INDIRECT("AP"&amp;VLOOKUP($A50,$BA$1:$BC$3,2,FALSE)&amp;":AP"&amp;VLOOKUP($A50,$BA$1:$BC$3,3,FALSE)),1))</f>
        <v>7</v>
      </c>
      <c r="AR50" s="6">
        <f>IF(AO50="","",RANK(AP50,AP$4:AP$100,1))</f>
        <v>33</v>
      </c>
      <c r="AS50" s="58"/>
      <c r="AT50" s="4">
        <f>SUM(G50,I50,M50,Q50,U50,Y50,AC50,AG50,AK50,AO50)</f>
        <v>348</v>
      </c>
      <c r="AU50" s="5">
        <f ca="1">RANK(AT50,INDIRECT("AT"&amp;VLOOKUP($A50,$BA$1:$BC$3,2,FALSE)&amp;":AT"&amp;VLOOKUP($A50,$BA$1:$BC$3,3,FALSE)),1)</f>
        <v>7</v>
      </c>
      <c r="AV50" s="5">
        <f>RANK(AT50,$AT$4:$AT$100,1)</f>
        <v>33</v>
      </c>
      <c r="AW50" s="4">
        <f>MIN(G50,I50,M50,Q50,U50,Y50,AC50,AG50,AK50,AO50)</f>
        <v>15</v>
      </c>
      <c r="AX50" s="5">
        <f>MAX(G50,I50,M50,Q50,U50,Y50,AC50,AG50,AK50,AO50)</f>
        <v>56</v>
      </c>
      <c r="AY50" s="6">
        <f>MEDIAN(G50,I50,M50,Q50,U50,Y50,AC50,AG50,AK50,AO50)</f>
        <v>35</v>
      </c>
    </row>
    <row r="51" spans="1:51" s="58" customFormat="1" ht="15.75">
      <c r="A51" s="14" t="s">
        <v>0</v>
      </c>
      <c r="B51" s="41">
        <v>66</v>
      </c>
      <c r="C51" s="40" t="str">
        <f>IF(ISBLANK(B51),"",VLOOKUP(B51,Entries!$A$4:$C$65,3,FALSE))</f>
        <v>TGT Ladies A</v>
      </c>
      <c r="D51" s="4">
        <f>IF(AT51=0,"",AT51)</f>
        <v>349</v>
      </c>
      <c r="E51" s="5">
        <f ca="1">IF(OR(ISBLANK(D51),D51=0,D51=""),"",RANK(D51,INDIRECT("D"&amp;VLOOKUP($A51,$BA$1:$BC$3,2,FALSE)&amp;":D"&amp;VLOOKUP($A51,$BA$1:$BC$3,3,FALSE)),1))</f>
        <v>8</v>
      </c>
      <c r="F51" s="5">
        <f>IF(OR(ISBLANK(D51),D51=0,D51=""),"",RANK(D51,$D$4:$D$100,1))</f>
        <v>34</v>
      </c>
      <c r="G51" s="4">
        <f ca="1">IF(ISNA(VLOOKUP($B51,INDIRECT("'"&amp;G$2&amp;"'!$B$3:$E$72"),4,FALSE)),"",VLOOKUP($B51,INDIRECT("'"&amp;G$2&amp;"'!$B$3:$E$72"),4,FALSE))</f>
        <v>30</v>
      </c>
      <c r="H51" s="5">
        <f ca="1">IF(G51="","",RANK(G51,INDIRECT("G"&amp;VLOOKUP($A51,$BA$1:$BC$3,2,FALSE)&amp;":G"&amp;VLOOKUP($A51,$BA$1:$BC$3,3,FALSE)),1))</f>
        <v>4</v>
      </c>
      <c r="I51" s="4">
        <f ca="1">IF(ISNA(VLOOKUP($B51,INDIRECT("'"&amp;I$2&amp;"'!$B$3:$E$72"),4,FALSE)),"",VLOOKUP($B51,INDIRECT("'"&amp;I$2&amp;"'!$B$3:$E$72"),4,FALSE))</f>
        <v>32</v>
      </c>
      <c r="J51" s="5">
        <f>IF(I51="","",G51+I51)</f>
        <v>62</v>
      </c>
      <c r="K51" s="5">
        <f ca="1">IF(J51="","",RANK(J51,INDIRECT("J"&amp;VLOOKUP($A51,$BA$1:$BC$3,2,FALSE)&amp;":J"&amp;VLOOKUP($A51,$BA$1:$BC$3,3,FALSE)),1))</f>
        <v>4</v>
      </c>
      <c r="L51" s="6">
        <f>IF(I51="","",RANK(J51,J$4:J$100,1))</f>
        <v>30</v>
      </c>
      <c r="M51" s="4">
        <f ca="1">IF(ISNA(VLOOKUP($B51,INDIRECT("'"&amp;M$2&amp;"'!$B$3:$E$72"),4,FALSE)),"",VLOOKUP($B51,INDIRECT("'"&amp;M$2&amp;"'!$B$3:$E$72"),4,FALSE))</f>
        <v>30</v>
      </c>
      <c r="N51" s="5">
        <f>IF(M51="","",M51+J51)</f>
        <v>92</v>
      </c>
      <c r="O51" s="5">
        <f ca="1">IF(N51="","",RANK(N51,INDIRECT("N"&amp;VLOOKUP($A51,$BA$1:$BC$3,2,FALSE)&amp;":N"&amp;VLOOKUP($A51,$BA$1:$BC$3,3,FALSE)),1))</f>
        <v>4</v>
      </c>
      <c r="P51" s="6">
        <f>IF(M51="","",RANK(N51,N$4:N$100,1))</f>
        <v>28</v>
      </c>
      <c r="Q51" s="4">
        <f ca="1">IF(ISNA(VLOOKUP($B51,INDIRECT("'"&amp;Q$2&amp;"'!$B$3:$E$72"),4,FALSE)),"",VLOOKUP($B51,INDIRECT("'"&amp;Q$2&amp;"'!$B$3:$E$72"),4,FALSE))</f>
        <v>24</v>
      </c>
      <c r="R51" s="5">
        <f>IF(Q51="","",Q51+N51)</f>
        <v>116</v>
      </c>
      <c r="S51" s="5">
        <f ca="1">IF(R51="","",RANK(R51,INDIRECT("R"&amp;VLOOKUP($A51,$BA$1:$BC$3,2,FALSE)&amp;":R"&amp;VLOOKUP($A51,$BA$1:$BC$3,3,FALSE)),1))</f>
        <v>3</v>
      </c>
      <c r="T51" s="6">
        <f>IF(Q51="","",RANK(R51,R$4:R$100,1))</f>
        <v>23</v>
      </c>
      <c r="U51" s="4">
        <f ca="1">IF(ISNA(VLOOKUP($B51,INDIRECT("'"&amp;U$2&amp;"'!$B$3:$E$72"),4,FALSE)),"",VLOOKUP($B51,INDIRECT("'"&amp;U$2&amp;"'!$B$3:$E$72"),4,FALSE))</f>
        <v>49</v>
      </c>
      <c r="V51" s="5">
        <f>IF(U51="","",U51+R51)</f>
        <v>165</v>
      </c>
      <c r="W51" s="5">
        <f ca="1">IF(V51="","",RANK(V51,INDIRECT("V"&amp;VLOOKUP($A51,$BA$1:$BC$3,2,FALSE)&amp;":V"&amp;VLOOKUP($A51,$BA$1:$BC$3,3,FALSE)),1))</f>
        <v>6</v>
      </c>
      <c r="X51" s="6">
        <f>IF(U51="","",RANK(V51,V$4:V$100,1))</f>
        <v>29</v>
      </c>
      <c r="Y51" s="4">
        <f ca="1">IF(ISNA(VLOOKUP($B51,INDIRECT("'"&amp;Y$2&amp;"'!$B$3:$E$72"),4,FALSE)),"",VLOOKUP($B51,INDIRECT("'"&amp;Y$2&amp;"'!$B$3:$E$72"),4,FALSE))</f>
        <v>47</v>
      </c>
      <c r="Z51" s="5">
        <f>IF(Y51="","",Y51+V51)</f>
        <v>212</v>
      </c>
      <c r="AA51" s="5">
        <f ca="1">IF(Z51="","",RANK(Z51,INDIRECT("Z"&amp;VLOOKUP($A51,$BA$1:$BC$3,2,FALSE)&amp;":Z"&amp;VLOOKUP($A51,$BA$1:$BC$3,3,FALSE)),1))</f>
        <v>7</v>
      </c>
      <c r="AB51" s="6">
        <f>IF(Y51="","",RANK(Z51,Z$4:Z$100,1))</f>
        <v>34</v>
      </c>
      <c r="AC51" s="4">
        <f ca="1">IF(ISNA(VLOOKUP($B51,INDIRECT("'"&amp;AC$2&amp;"'!$B$3:$E$72"),4,FALSE)),"",VLOOKUP($B51,INDIRECT("'"&amp;AC$2&amp;"'!$B$3:$E$72"),4,FALSE))</f>
        <v>41</v>
      </c>
      <c r="AD51" s="5">
        <f>IF(AC51="","",AC51+Z51)</f>
        <v>253</v>
      </c>
      <c r="AE51" s="5">
        <f ca="1">IF(AD51="","",RANK(AD51,INDIRECT("AD"&amp;VLOOKUP($A51,$BA$1:$BC$3,2,FALSE)&amp;":AD"&amp;VLOOKUP($A51,$BA$1:$BC$3,3,FALSE)),1))</f>
        <v>7</v>
      </c>
      <c r="AF51" s="6">
        <f>IF(AC51="","",RANK(AD51,AD$4:AD$100,1))</f>
        <v>34</v>
      </c>
      <c r="AG51" s="4">
        <f ca="1">IF(ISNA(VLOOKUP($B51,INDIRECT("'"&amp;AG$2&amp;"'!$B$3:$E$72"),4,FALSE)),"",VLOOKUP($B51,INDIRECT("'"&amp;AG$2&amp;"'!$B$3:$E$72"),4,FALSE))</f>
        <v>28</v>
      </c>
      <c r="AH51" s="5">
        <f>IF(AG51="","",AG51+AD51)</f>
        <v>281</v>
      </c>
      <c r="AI51" s="5">
        <f ca="1">IF(AH51="","",RANK(AH51,INDIRECT("AH"&amp;VLOOKUP($A51,$BA$1:$BC$3,2,FALSE)&amp;":AH"&amp;VLOOKUP($A51,$BA$1:$BC$3,3,FALSE)),1))</f>
        <v>7</v>
      </c>
      <c r="AJ51" s="6">
        <f>IF(AG51="","",RANK(AH51,AH$4:AH$100,1))</f>
        <v>34</v>
      </c>
      <c r="AK51" s="4">
        <f ca="1">IF(ISNA(VLOOKUP($B51,INDIRECT("'"&amp;AK$2&amp;"'!$B$3:$E$72"),4,FALSE)),"",VLOOKUP($B51,INDIRECT("'"&amp;AK$2&amp;"'!$B$3:$E$72"),4,FALSE))</f>
        <v>42</v>
      </c>
      <c r="AL51" s="5">
        <f>IF(AK51="","",AK51+AH51)</f>
        <v>323</v>
      </c>
      <c r="AM51" s="5">
        <f ca="1">IF(AL51="","",RANK(AL51,INDIRECT("AL"&amp;VLOOKUP($A51,$BA$1:$BC$3,2,FALSE)&amp;":AL"&amp;VLOOKUP($A51,$BA$1:$BC$3,3,FALSE)),1))</f>
        <v>8</v>
      </c>
      <c r="AN51" s="6">
        <f>IF(AK51="","",RANK(AL51,AL$4:AL$100,1))</f>
        <v>35</v>
      </c>
      <c r="AO51" s="4">
        <f ca="1">IF(ISNA(VLOOKUP($B51,INDIRECT("'"&amp;AO$2&amp;"'!$B$3:$E$72"),4,FALSE)),"",VLOOKUP($B51,INDIRECT("'"&amp;AO$2&amp;"'!$B$3:$E$72"),4,FALSE))</f>
        <v>26</v>
      </c>
      <c r="AP51" s="5">
        <f>IF(AO51="","",AO51+AL51)</f>
        <v>349</v>
      </c>
      <c r="AQ51" s="5">
        <f ca="1">IF(AP51="","",RANK(AP51,INDIRECT("AP"&amp;VLOOKUP($A51,$BA$1:$BC$3,2,FALSE)&amp;":AP"&amp;VLOOKUP($A51,$BA$1:$BC$3,3,FALSE)),1))</f>
        <v>8</v>
      </c>
      <c r="AR51" s="6">
        <f>IF(AO51="","",RANK(AP51,AP$4:AP$100,1))</f>
        <v>34</v>
      </c>
      <c r="AS51" s="1"/>
      <c r="AT51" s="4">
        <f>SUM(G51,I51,M51,Q51,U51,Y51,AC51,AG51,AK51,AO51)</f>
        <v>349</v>
      </c>
      <c r="AU51" s="5">
        <f ca="1">RANK(AT51,INDIRECT("AT"&amp;VLOOKUP($A51,$BA$1:$BC$3,2,FALSE)&amp;":AT"&amp;VLOOKUP($A51,$BA$1:$BC$3,3,FALSE)),1)</f>
        <v>8</v>
      </c>
      <c r="AV51" s="5">
        <f>RANK(AT51,$AT$4:$AT$100,1)</f>
        <v>34</v>
      </c>
      <c r="AW51" s="4">
        <f>MIN(G51,I51,M51,Q51,U51,Y51,AC51,AG51,AK51,AO51)</f>
        <v>24</v>
      </c>
      <c r="AX51" s="5">
        <f>MAX(G51,I51,M51,Q51,U51,Y51,AC51,AG51,AK51,AO51)</f>
        <v>49</v>
      </c>
      <c r="AY51" s="6">
        <f>MEDIAN(G51,I51,M51,Q51,U51,Y51,AC51,AG51,AK51,AO51)</f>
        <v>31</v>
      </c>
    </row>
    <row r="52" spans="1:51" ht="15.75">
      <c r="A52" s="14" t="s">
        <v>0</v>
      </c>
      <c r="B52" s="41">
        <v>70</v>
      </c>
      <c r="C52" s="40" t="str">
        <f>IF(ISBLANK(B52),"",VLOOKUP(B52,Entries!$A$4:$C$65,3,FALSE))</f>
        <v>Harwich Runners Ladies</v>
      </c>
      <c r="D52" s="4">
        <f>IF(AT52=0,"",AT52)</f>
        <v>369</v>
      </c>
      <c r="E52" s="5">
        <f ca="1">IF(OR(ISBLANK(D52),D52=0,D52=""),"",RANK(D52,INDIRECT("D"&amp;VLOOKUP($A52,$BA$1:$BC$3,2,FALSE)&amp;":D"&amp;VLOOKUP($A52,$BA$1:$BC$3,3,FALSE)),1))</f>
        <v>9</v>
      </c>
      <c r="F52" s="5">
        <f>IF(OR(ISBLANK(D52),D52=0,D52=""),"",RANK(D52,$D$4:$D$100,1))</f>
        <v>37</v>
      </c>
      <c r="G52" s="4">
        <f ca="1">IF(ISNA(VLOOKUP($B52,INDIRECT("'"&amp;G$2&amp;"'!$B$3:$E$72"),4,FALSE)),"",VLOOKUP($B52,INDIRECT("'"&amp;G$2&amp;"'!$B$3:$E$72"),4,FALSE))</f>
        <v>53</v>
      </c>
      <c r="H52" s="5">
        <f ca="1">IF(G52="","",RANK(G52,INDIRECT("G"&amp;VLOOKUP($A52,$BA$1:$BC$3,2,FALSE)&amp;":G"&amp;VLOOKUP($A52,$BA$1:$BC$3,3,FALSE)),1))</f>
        <v>14</v>
      </c>
      <c r="I52" s="4">
        <f ca="1">IF(ISNA(VLOOKUP($B52,INDIRECT("'"&amp;I$2&amp;"'!$B$3:$E$72"),4,FALSE)),"",VLOOKUP($B52,INDIRECT("'"&amp;I$2&amp;"'!$B$3:$E$72"),4,FALSE))</f>
        <v>53</v>
      </c>
      <c r="J52" s="5">
        <f>IF(I52="","",G52+I52)</f>
        <v>106</v>
      </c>
      <c r="K52" s="5">
        <f ca="1">IF(J52="","",RANK(J52,INDIRECT("J"&amp;VLOOKUP($A52,$BA$1:$BC$3,2,FALSE)&amp;":J"&amp;VLOOKUP($A52,$BA$1:$BC$3,3,FALSE)),1))</f>
        <v>14</v>
      </c>
      <c r="L52" s="6">
        <f>IF(I52="","",RANK(J52,J$4:J$100,1))</f>
        <v>55</v>
      </c>
      <c r="M52" s="4">
        <f ca="1">IF(ISNA(VLOOKUP($B52,INDIRECT("'"&amp;M$2&amp;"'!$B$3:$E$72"),4,FALSE)),"",VLOOKUP($B52,INDIRECT("'"&amp;M$2&amp;"'!$B$3:$E$72"),4,FALSE))</f>
        <v>36</v>
      </c>
      <c r="N52" s="5">
        <f>IF(M52="","",M52+J52)</f>
        <v>142</v>
      </c>
      <c r="O52" s="5">
        <f ca="1">IF(N52="","",RANK(N52,INDIRECT("N"&amp;VLOOKUP($A52,$BA$1:$BC$3,2,FALSE)&amp;":N"&amp;VLOOKUP($A52,$BA$1:$BC$3,3,FALSE)),1))</f>
        <v>12</v>
      </c>
      <c r="P52" s="6">
        <f>IF(M52="","",RANK(N52,N$4:N$100,1))</f>
        <v>50</v>
      </c>
      <c r="Q52" s="4">
        <f ca="1">IF(ISNA(VLOOKUP($B52,INDIRECT("'"&amp;Q$2&amp;"'!$B$3:$E$72"),4,FALSE)),"",VLOOKUP($B52,INDIRECT("'"&amp;Q$2&amp;"'!$B$3:$E$72"),4,FALSE))</f>
        <v>36</v>
      </c>
      <c r="R52" s="5">
        <f>IF(Q52="","",Q52+N52)</f>
        <v>178</v>
      </c>
      <c r="S52" s="5">
        <f ca="1">IF(R52="","",RANK(R52,INDIRECT("R"&amp;VLOOKUP($A52,$BA$1:$BC$3,2,FALSE)&amp;":R"&amp;VLOOKUP($A52,$BA$1:$BC$3,3,FALSE)),1))</f>
        <v>10</v>
      </c>
      <c r="T52" s="6">
        <f>IF(Q52="","",RANK(R52,R$4:R$100,1))</f>
        <v>45</v>
      </c>
      <c r="U52" s="4">
        <f ca="1">IF(ISNA(VLOOKUP($B52,INDIRECT("'"&amp;U$2&amp;"'!$B$3:$E$72"),4,FALSE)),"",VLOOKUP($B52,INDIRECT("'"&amp;U$2&amp;"'!$B$3:$E$72"),4,FALSE))</f>
        <v>7</v>
      </c>
      <c r="V52" s="5">
        <f>IF(U52="","",U52+R52)</f>
        <v>185</v>
      </c>
      <c r="W52" s="5">
        <f ca="1">IF(V52="","",RANK(V52,INDIRECT("V"&amp;VLOOKUP($A52,$BA$1:$BC$3,2,FALSE)&amp;":V"&amp;VLOOKUP($A52,$BA$1:$BC$3,3,FALSE)),1))</f>
        <v>8</v>
      </c>
      <c r="X52" s="6">
        <f>IF(U52="","",RANK(V52,V$4:V$100,1))</f>
        <v>38</v>
      </c>
      <c r="Y52" s="4">
        <f ca="1">IF(ISNA(VLOOKUP($B52,INDIRECT("'"&amp;Y$2&amp;"'!$B$3:$E$72"),4,FALSE)),"",VLOOKUP($B52,INDIRECT("'"&amp;Y$2&amp;"'!$B$3:$E$72"),4,FALSE))</f>
        <v>46</v>
      </c>
      <c r="Z52" s="5">
        <f>IF(Y52="","",Y52+V52)</f>
        <v>231</v>
      </c>
      <c r="AA52" s="5">
        <f ca="1">IF(Z52="","",RANK(Z52,INDIRECT("Z"&amp;VLOOKUP($A52,$BA$1:$BC$3,2,FALSE)&amp;":Z"&amp;VLOOKUP($A52,$BA$1:$BC$3,3,FALSE)),1))</f>
        <v>10</v>
      </c>
      <c r="AB52" s="6">
        <f>IF(Y52="","",RANK(Z52,Z$4:Z$100,1))</f>
        <v>42</v>
      </c>
      <c r="AC52" s="4">
        <f ca="1">IF(ISNA(VLOOKUP($B52,INDIRECT("'"&amp;AC$2&amp;"'!$B$3:$E$72"),4,FALSE)),"",VLOOKUP($B52,INDIRECT("'"&amp;AC$2&amp;"'!$B$3:$E$72"),4,FALSE))</f>
        <v>42</v>
      </c>
      <c r="AD52" s="5">
        <f>IF(AC52="","",AC52+Z52)</f>
        <v>273</v>
      </c>
      <c r="AE52" s="5">
        <f ca="1">IF(AD52="","",RANK(AD52,INDIRECT("AD"&amp;VLOOKUP($A52,$BA$1:$BC$3,2,FALSE)&amp;":AD"&amp;VLOOKUP($A52,$BA$1:$BC$3,3,FALSE)),1))</f>
        <v>9</v>
      </c>
      <c r="AF52" s="6">
        <f>IF(AC52="","",RANK(AD52,AD$4:AD$100,1))</f>
        <v>40</v>
      </c>
      <c r="AG52" s="4">
        <f ca="1">IF(ISNA(VLOOKUP($B52,INDIRECT("'"&amp;AG$2&amp;"'!$B$3:$E$72"),4,FALSE)),"",VLOOKUP($B52,INDIRECT("'"&amp;AG$2&amp;"'!$B$3:$E$72"),4,FALSE))</f>
        <v>33</v>
      </c>
      <c r="AH52" s="5">
        <f>IF(AG52="","",AG52+AD52)</f>
        <v>306</v>
      </c>
      <c r="AI52" s="5">
        <f ca="1">IF(AH52="","",RANK(AH52,INDIRECT("AH"&amp;VLOOKUP($A52,$BA$1:$BC$3,2,FALSE)&amp;":AH"&amp;VLOOKUP($A52,$BA$1:$BC$3,3,FALSE)),1))</f>
        <v>9</v>
      </c>
      <c r="AJ52" s="6">
        <f>IF(AG52="","",RANK(AH52,AH$4:AH$100,1))</f>
        <v>41</v>
      </c>
      <c r="AK52" s="4">
        <f ca="1">IF(ISNA(VLOOKUP($B52,INDIRECT("'"&amp;AK$2&amp;"'!$B$3:$E$72"),4,FALSE)),"",VLOOKUP($B52,INDIRECT("'"&amp;AK$2&amp;"'!$B$3:$E$72"),4,FALSE))</f>
        <v>27</v>
      </c>
      <c r="AL52" s="5">
        <f>IF(AK52="","",AK52+AH52)</f>
        <v>333</v>
      </c>
      <c r="AM52" s="5">
        <f ca="1">IF(AL52="","",RANK(AL52,INDIRECT("AL"&amp;VLOOKUP($A52,$BA$1:$BC$3,2,FALSE)&amp;":AL"&amp;VLOOKUP($A52,$BA$1:$BC$3,3,FALSE)),1))</f>
        <v>9</v>
      </c>
      <c r="AN52" s="6">
        <f>IF(AK52="","",RANK(AL52,AL$4:AL$100,1))</f>
        <v>40</v>
      </c>
      <c r="AO52" s="4">
        <f ca="1">IF(ISNA(VLOOKUP($B52,INDIRECT("'"&amp;AO$2&amp;"'!$B$3:$E$72"),4,FALSE)),"",VLOOKUP($B52,INDIRECT("'"&amp;AO$2&amp;"'!$B$3:$E$72"),4,FALSE))</f>
        <v>36</v>
      </c>
      <c r="AP52" s="5">
        <f>IF(AO52="","",AO52+AL52)</f>
        <v>369</v>
      </c>
      <c r="AQ52" s="5">
        <f ca="1">IF(AP52="","",RANK(AP52,INDIRECT("AP"&amp;VLOOKUP($A52,$BA$1:$BC$3,2,FALSE)&amp;":AP"&amp;VLOOKUP($A52,$BA$1:$BC$3,3,FALSE)),1))</f>
        <v>9</v>
      </c>
      <c r="AR52" s="6">
        <f>IF(AO52="","",RANK(AP52,AP$4:AP$100,1))</f>
        <v>37</v>
      </c>
      <c r="AT52" s="4">
        <f>SUM(G52,I52,M52,Q52,U52,Y52,AC52,AG52,AK52,AO52)</f>
        <v>369</v>
      </c>
      <c r="AU52" s="5">
        <f ca="1">RANK(AT52,INDIRECT("AT"&amp;VLOOKUP($A52,$BA$1:$BC$3,2,FALSE)&amp;":AT"&amp;VLOOKUP($A52,$BA$1:$BC$3,3,FALSE)),1)</f>
        <v>9</v>
      </c>
      <c r="AV52" s="5">
        <f>RANK(AT52,$AT$4:$AT$100,1)</f>
        <v>37</v>
      </c>
      <c r="AW52" s="4">
        <f>MIN(G52,I52,M52,Q52,U52,Y52,AC52,AG52,AK52,AO52)</f>
        <v>7</v>
      </c>
      <c r="AX52" s="5">
        <f>MAX(G52,I52,M52,Q52,U52,Y52,AC52,AG52,AK52,AO52)</f>
        <v>53</v>
      </c>
      <c r="AY52" s="6">
        <f>MEDIAN(G52,I52,M52,Q52,U52,Y52,AC52,AG52,AK52,AO52)</f>
        <v>36</v>
      </c>
    </row>
    <row r="53" spans="1:51" ht="15.75">
      <c r="A53" s="14" t="s">
        <v>0</v>
      </c>
      <c r="B53" s="41">
        <v>58</v>
      </c>
      <c r="C53" s="40" t="str">
        <f>IF(ISBLANK(B53),"",VLOOKUP(B53,Entries!$A$4:$C$65,3,FALSE))</f>
        <v>Springfield Striders Ladies B</v>
      </c>
      <c r="D53" s="4">
        <f>IF(AT53=0,"",AT53)</f>
        <v>411</v>
      </c>
      <c r="E53" s="5">
        <f ca="1">IF(OR(ISBLANK(D53),D53=0,D53=""),"",RANK(D53,INDIRECT("D"&amp;VLOOKUP($A53,$BA$1:$BC$3,2,FALSE)&amp;":D"&amp;VLOOKUP($A53,$BA$1:$BC$3,3,FALSE)),1))</f>
        <v>10</v>
      </c>
      <c r="F53" s="5">
        <f>IF(OR(ISBLANK(D53),D53=0,D53=""),"",RANK(D53,$D$4:$D$100,1))</f>
        <v>46</v>
      </c>
      <c r="G53" s="4">
        <f ca="1">IF(ISNA(VLOOKUP($B53,INDIRECT("'"&amp;G$2&amp;"'!$B$3:$E$72"),4,FALSE)),"",VLOOKUP($B53,INDIRECT("'"&amp;G$2&amp;"'!$B$3:$E$72"),4,FALSE))</f>
        <v>40</v>
      </c>
      <c r="H53" s="5">
        <f ca="1">IF(G53="","",RANK(G53,INDIRECT("G"&amp;VLOOKUP($A53,$BA$1:$BC$3,2,FALSE)&amp;":G"&amp;VLOOKUP($A53,$BA$1:$BC$3,3,FALSE)),1))</f>
        <v>7</v>
      </c>
      <c r="I53" s="4">
        <f ca="1">IF(ISNA(VLOOKUP($B53,INDIRECT("'"&amp;I$2&amp;"'!$B$3:$E$72"),4,FALSE)),"",VLOOKUP($B53,INDIRECT("'"&amp;I$2&amp;"'!$B$3:$E$72"),4,FALSE))</f>
        <v>54</v>
      </c>
      <c r="J53" s="5">
        <f>IF(I53="","",G53+I53)</f>
        <v>94</v>
      </c>
      <c r="K53" s="5">
        <f ca="1">IF(J53="","",RANK(J53,INDIRECT("J"&amp;VLOOKUP($A53,$BA$1:$BC$3,2,FALSE)&amp;":J"&amp;VLOOKUP($A53,$BA$1:$BC$3,3,FALSE)),1))</f>
        <v>11</v>
      </c>
      <c r="L53" s="6">
        <f>IF(I53="","",RANK(J53,J$4:J$100,1))</f>
        <v>47</v>
      </c>
      <c r="M53" s="4">
        <f ca="1">IF(ISNA(VLOOKUP($B53,INDIRECT("'"&amp;M$2&amp;"'!$B$3:$E$72"),4,FALSE)),"",VLOOKUP($B53,INDIRECT("'"&amp;M$2&amp;"'!$B$3:$E$72"),4,FALSE))</f>
        <v>42</v>
      </c>
      <c r="N53" s="5">
        <f>IF(M53="","",M53+J53)</f>
        <v>136</v>
      </c>
      <c r="O53" s="5">
        <f ca="1">IF(N53="","",RANK(N53,INDIRECT("N"&amp;VLOOKUP($A53,$BA$1:$BC$3,2,FALSE)&amp;":N"&amp;VLOOKUP($A53,$BA$1:$BC$3,3,FALSE)),1))</f>
        <v>10</v>
      </c>
      <c r="P53" s="6">
        <f>IF(M53="","",RANK(N53,N$4:N$100,1))</f>
        <v>45</v>
      </c>
      <c r="Q53" s="4">
        <f ca="1">IF(ISNA(VLOOKUP($B53,INDIRECT("'"&amp;Q$2&amp;"'!$B$3:$E$72"),4,FALSE)),"",VLOOKUP($B53,INDIRECT("'"&amp;Q$2&amp;"'!$B$3:$E$72"),4,FALSE))</f>
        <v>18</v>
      </c>
      <c r="R53" s="5">
        <f>IF(Q53="","",Q53+N53)</f>
        <v>154</v>
      </c>
      <c r="S53" s="5">
        <f ca="1">IF(R53="","",RANK(R53,INDIRECT("R"&amp;VLOOKUP($A53,$BA$1:$BC$3,2,FALSE)&amp;":R"&amp;VLOOKUP($A53,$BA$1:$BC$3,3,FALSE)),1))</f>
        <v>9</v>
      </c>
      <c r="T53" s="6">
        <f>IF(Q53="","",RANK(R53,R$4:R$100,1))</f>
        <v>38</v>
      </c>
      <c r="U53" s="4">
        <f ca="1">IF(ISNA(VLOOKUP($B53,INDIRECT("'"&amp;U$2&amp;"'!$B$3:$E$72"),4,FALSE)),"",VLOOKUP($B53,INDIRECT("'"&amp;U$2&amp;"'!$B$3:$E$72"),4,FALSE))</f>
        <v>45</v>
      </c>
      <c r="V53" s="5">
        <f>IF(U53="","",U53+R53)</f>
        <v>199</v>
      </c>
      <c r="W53" s="5">
        <f ca="1">IF(V53="","",RANK(V53,INDIRECT("V"&amp;VLOOKUP($A53,$BA$1:$BC$3,2,FALSE)&amp;":V"&amp;VLOOKUP($A53,$BA$1:$BC$3,3,FALSE)),1))</f>
        <v>10</v>
      </c>
      <c r="X53" s="6">
        <f>IF(U53="","",RANK(V53,V$4:V$100,1))</f>
        <v>41</v>
      </c>
      <c r="Y53" s="4">
        <f ca="1">IF(ISNA(VLOOKUP($B53,INDIRECT("'"&amp;Y$2&amp;"'!$B$3:$E$72"),4,FALSE)),"",VLOOKUP($B53,INDIRECT("'"&amp;Y$2&amp;"'!$B$3:$E$72"),4,FALSE))</f>
        <v>29</v>
      </c>
      <c r="Z53" s="5">
        <f>IF(Y53="","",Y53+V53)</f>
        <v>228</v>
      </c>
      <c r="AA53" s="5">
        <f ca="1">IF(Z53="","",RANK(Z53,INDIRECT("Z"&amp;VLOOKUP($A53,$BA$1:$BC$3,2,FALSE)&amp;":Z"&amp;VLOOKUP($A53,$BA$1:$BC$3,3,FALSE)),1))</f>
        <v>9</v>
      </c>
      <c r="AB53" s="6">
        <f>IF(Y53="","",RANK(Z53,Z$4:Z$100,1))</f>
        <v>40</v>
      </c>
      <c r="AC53" s="4">
        <f ca="1">IF(ISNA(VLOOKUP($B53,INDIRECT("'"&amp;AC$2&amp;"'!$B$3:$E$72"),4,FALSE)),"",VLOOKUP($B53,INDIRECT("'"&amp;AC$2&amp;"'!$B$3:$E$72"),4,FALSE))</f>
        <v>49</v>
      </c>
      <c r="AD53" s="5">
        <f>IF(AC53="","",AC53+Z53)</f>
        <v>277</v>
      </c>
      <c r="AE53" s="5">
        <f ca="1">IF(AD53="","",RANK(AD53,INDIRECT("AD"&amp;VLOOKUP($A53,$BA$1:$BC$3,2,FALSE)&amp;":AD"&amp;VLOOKUP($A53,$BA$1:$BC$3,3,FALSE)),1))</f>
        <v>10</v>
      </c>
      <c r="AF53" s="6">
        <f>IF(AC53="","",RANK(AD53,AD$4:AD$100,1))</f>
        <v>41</v>
      </c>
      <c r="AG53" s="4">
        <f ca="1">IF(ISNA(VLOOKUP($B53,INDIRECT("'"&amp;AG$2&amp;"'!$B$3:$E$72"),4,FALSE)),"",VLOOKUP($B53,INDIRECT("'"&amp;AG$2&amp;"'!$B$3:$E$72"),4,FALSE))</f>
        <v>42</v>
      </c>
      <c r="AH53" s="5">
        <f>IF(AG53="","",AG53+AD53)</f>
        <v>319</v>
      </c>
      <c r="AI53" s="5">
        <f ca="1">IF(AH53="","",RANK(AH53,INDIRECT("AH"&amp;VLOOKUP($A53,$BA$1:$BC$3,2,FALSE)&amp;":AH"&amp;VLOOKUP($A53,$BA$1:$BC$3,3,FALSE)),1))</f>
        <v>10</v>
      </c>
      <c r="AJ53" s="6">
        <f>IF(AG53="","",RANK(AH53,AH$4:AH$100,1))</f>
        <v>43</v>
      </c>
      <c r="AK53" s="4">
        <f ca="1">IF(ISNA(VLOOKUP($B53,INDIRECT("'"&amp;AK$2&amp;"'!$B$3:$E$72"),4,FALSE)),"",VLOOKUP($B53,INDIRECT("'"&amp;AK$2&amp;"'!$B$3:$E$72"),4,FALSE))</f>
        <v>36</v>
      </c>
      <c r="AL53" s="5">
        <f>IF(AK53="","",AK53+AH53)</f>
        <v>355</v>
      </c>
      <c r="AM53" s="5">
        <f ca="1">IF(AL53="","",RANK(AL53,INDIRECT("AL"&amp;VLOOKUP($A53,$BA$1:$BC$3,2,FALSE)&amp;":AL"&amp;VLOOKUP($A53,$BA$1:$BC$3,3,FALSE)),1))</f>
        <v>10</v>
      </c>
      <c r="AN53" s="6">
        <f>IF(AK53="","",RANK(AL53,AL$4:AL$100,1))</f>
        <v>42</v>
      </c>
      <c r="AO53" s="4">
        <f ca="1">IF(ISNA(VLOOKUP($B53,INDIRECT("'"&amp;AO$2&amp;"'!$B$3:$E$72"),4,FALSE)),"",VLOOKUP($B53,INDIRECT("'"&amp;AO$2&amp;"'!$B$3:$E$72"),4,FALSE))</f>
        <v>56</v>
      </c>
      <c r="AP53" s="5">
        <f>IF(AO53="","",AO53+AL53)</f>
        <v>411</v>
      </c>
      <c r="AQ53" s="5">
        <f ca="1">IF(AP53="","",RANK(AP53,INDIRECT("AP"&amp;VLOOKUP($A53,$BA$1:$BC$3,2,FALSE)&amp;":AP"&amp;VLOOKUP($A53,$BA$1:$BC$3,3,FALSE)),1))</f>
        <v>10</v>
      </c>
      <c r="AR53" s="6">
        <f>IF(AO53="","",RANK(AP53,AP$4:AP$100,1))</f>
        <v>46</v>
      </c>
      <c r="AT53" s="4">
        <f>SUM(G53,I53,M53,Q53,U53,Y53,AC53,AG53,AK53,AO53)</f>
        <v>411</v>
      </c>
      <c r="AU53" s="5">
        <f ca="1">RANK(AT53,INDIRECT("AT"&amp;VLOOKUP($A53,$BA$1:$BC$3,2,FALSE)&amp;":AT"&amp;VLOOKUP($A53,$BA$1:$BC$3,3,FALSE)),1)</f>
        <v>10</v>
      </c>
      <c r="AV53" s="5">
        <f>RANK(AT53,$AT$4:$AT$100,1)</f>
        <v>46</v>
      </c>
      <c r="AW53" s="4">
        <f>MIN(G53,I53,M53,Q53,U53,Y53,AC53,AG53,AK53,AO53)</f>
        <v>18</v>
      </c>
      <c r="AX53" s="5">
        <f>MAX(G53,I53,M53,Q53,U53,Y53,AC53,AG53,AK53,AO53)</f>
        <v>56</v>
      </c>
      <c r="AY53" s="6">
        <f>MEDIAN(G53,I53,M53,Q53,U53,Y53,AC53,AG53,AK53,AO53)</f>
        <v>42</v>
      </c>
    </row>
    <row r="54" spans="1:51" ht="15.75">
      <c r="A54" s="14" t="s">
        <v>0</v>
      </c>
      <c r="B54" s="41">
        <v>60</v>
      </c>
      <c r="C54" s="40" t="str">
        <f>IF(ISBLANK(B54),"",VLOOKUP(B54,Entries!$A$4:$C$65,3,FALSE))</f>
        <v>Tiptree Ladies</v>
      </c>
      <c r="D54" s="4">
        <f>IF(AT54=0,"",AT54)</f>
        <v>453</v>
      </c>
      <c r="E54" s="5">
        <f ca="1">IF(OR(ISBLANK(D54),D54=0,D54=""),"",RANK(D54,INDIRECT("D"&amp;VLOOKUP($A54,$BA$1:$BC$3,2,FALSE)&amp;":D"&amp;VLOOKUP($A54,$BA$1:$BC$3,3,FALSE)),1))</f>
        <v>11</v>
      </c>
      <c r="F54" s="5">
        <f>IF(OR(ISBLANK(D54),D54=0,D54=""),"",RANK(D54,$D$4:$D$100,1))</f>
        <v>49</v>
      </c>
      <c r="G54" s="4">
        <f ca="1">IF(ISNA(VLOOKUP($B54,INDIRECT("'"&amp;G$2&amp;"'!$B$3:$E$72"),4,FALSE)),"",VLOOKUP($B54,INDIRECT("'"&amp;G$2&amp;"'!$B$3:$E$72"),4,FALSE))</f>
        <v>46</v>
      </c>
      <c r="H54" s="6">
        <f ca="1">IF(G54="","",RANK(G54,INDIRECT("G"&amp;VLOOKUP($A54,$BA$1:$BC$3,2,FALSE)&amp;":G"&amp;VLOOKUP($A54,$BA$1:$BC$3,3,FALSE)),1))</f>
        <v>11</v>
      </c>
      <c r="I54" s="5">
        <f ca="1">IF(ISNA(VLOOKUP($B54,INDIRECT("'"&amp;I$2&amp;"'!$B$3:$E$72"),4,FALSE)),"",VLOOKUP($B54,INDIRECT("'"&amp;I$2&amp;"'!$B$3:$E$72"),4,FALSE))</f>
        <v>35</v>
      </c>
      <c r="J54" s="5">
        <f>IF(I54="","",G54+I54)</f>
        <v>81</v>
      </c>
      <c r="K54" s="5">
        <f ca="1">IF(J54="","",RANK(J54,INDIRECT("J"&amp;VLOOKUP($A54,$BA$1:$BC$3,2,FALSE)&amp;":J"&amp;VLOOKUP($A54,$BA$1:$BC$3,3,FALSE)),1))</f>
        <v>8</v>
      </c>
      <c r="L54" s="6">
        <f>IF(I54="","",RANK(J54,J$4:J$100,1))</f>
        <v>39</v>
      </c>
      <c r="M54" s="4">
        <f ca="1">IF(ISNA(VLOOKUP($B54,INDIRECT("'"&amp;M$2&amp;"'!$B$3:$E$72"),4,FALSE)),"",VLOOKUP($B54,INDIRECT("'"&amp;M$2&amp;"'!$B$3:$E$72"),4,FALSE))</f>
        <v>52</v>
      </c>
      <c r="N54" s="5">
        <f>IF(M54="","",M54+J54)</f>
        <v>133</v>
      </c>
      <c r="O54" s="5">
        <f ca="1">IF(N54="","",RANK(N54,INDIRECT("N"&amp;VLOOKUP($A54,$BA$1:$BC$3,2,FALSE)&amp;":N"&amp;VLOOKUP($A54,$BA$1:$BC$3,3,FALSE)),1))</f>
        <v>9</v>
      </c>
      <c r="P54" s="6">
        <f>IF(M54="","",RANK(N54,N$4:N$100,1))</f>
        <v>43</v>
      </c>
      <c r="Q54" s="4">
        <f ca="1">IF(ISNA(VLOOKUP($B54,INDIRECT("'"&amp;Q$2&amp;"'!$B$3:$E$72"),4,FALSE)),"",VLOOKUP($B54,INDIRECT("'"&amp;Q$2&amp;"'!$B$3:$E$72"),4,FALSE))</f>
        <v>45</v>
      </c>
      <c r="R54" s="5">
        <f>IF(Q54="","",Q54+N54)</f>
        <v>178</v>
      </c>
      <c r="S54" s="5">
        <f ca="1">IF(R54="","",RANK(R54,INDIRECT("R"&amp;VLOOKUP($A54,$BA$1:$BC$3,2,FALSE)&amp;":R"&amp;VLOOKUP($A54,$BA$1:$BC$3,3,FALSE)),1))</f>
        <v>10</v>
      </c>
      <c r="T54" s="6">
        <f>IF(Q54="","",RANK(R54,R$4:R$100,1))</f>
        <v>45</v>
      </c>
      <c r="U54" s="4">
        <f ca="1">IF(ISNA(VLOOKUP($B54,INDIRECT("'"&amp;U$2&amp;"'!$B$3:$E$72"),4,FALSE)),"",VLOOKUP($B54,INDIRECT("'"&amp;U$2&amp;"'!$B$3:$E$72"),4,FALSE))</f>
        <v>50</v>
      </c>
      <c r="V54" s="5">
        <f>IF(U54="","",U54+R54)</f>
        <v>228</v>
      </c>
      <c r="W54" s="5">
        <f ca="1">IF(V54="","",RANK(V54,INDIRECT("V"&amp;VLOOKUP($A54,$BA$1:$BC$3,2,FALSE)&amp;":V"&amp;VLOOKUP($A54,$BA$1:$BC$3,3,FALSE)),1))</f>
        <v>12</v>
      </c>
      <c r="X54" s="6">
        <f>IF(U54="","",RANK(V54,V$4:V$100,1))</f>
        <v>48</v>
      </c>
      <c r="Y54" s="4">
        <f ca="1">IF(ISNA(VLOOKUP($B54,INDIRECT("'"&amp;Y$2&amp;"'!$B$3:$E$72"),4,FALSE)),"",VLOOKUP($B54,INDIRECT("'"&amp;Y$2&amp;"'!$B$3:$E$72"),4,FALSE))</f>
        <v>21</v>
      </c>
      <c r="Z54" s="5">
        <f>IF(Y54="","",Y54+V54)</f>
        <v>249</v>
      </c>
      <c r="AA54" s="5">
        <f ca="1">IF(Z54="","",RANK(Z54,INDIRECT("Z"&amp;VLOOKUP($A54,$BA$1:$BC$3,2,FALSE)&amp;":Z"&amp;VLOOKUP($A54,$BA$1:$BC$3,3,FALSE)),1))</f>
        <v>11</v>
      </c>
      <c r="AB54" s="6">
        <f>IF(Y54="","",RANK(Z54,Z$4:Z$100,1))</f>
        <v>45</v>
      </c>
      <c r="AC54" s="4">
        <f ca="1">IF(ISNA(VLOOKUP($B54,INDIRECT("'"&amp;AC$2&amp;"'!$B$3:$E$72"),4,FALSE)),"",VLOOKUP($B54,INDIRECT("'"&amp;AC$2&amp;"'!$B$3:$E$72"),4,FALSE))</f>
        <v>50</v>
      </c>
      <c r="AD54" s="5">
        <f>IF(AC54="","",AC54+Z54)</f>
        <v>299</v>
      </c>
      <c r="AE54" s="5">
        <f ca="1">IF(AD54="","",RANK(AD54,INDIRECT("AD"&amp;VLOOKUP($A54,$BA$1:$BC$3,2,FALSE)&amp;":AD"&amp;VLOOKUP($A54,$BA$1:$BC$3,3,FALSE)),1))</f>
        <v>11</v>
      </c>
      <c r="AF54" s="6">
        <f>IF(AC54="","",RANK(AD54,AD$4:AD$100,1))</f>
        <v>48</v>
      </c>
      <c r="AG54" s="4">
        <f ca="1">IF(ISNA(VLOOKUP($B54,INDIRECT("'"&amp;AG$2&amp;"'!$B$3:$E$72"),4,FALSE)),"",VLOOKUP($B54,INDIRECT("'"&amp;AG$2&amp;"'!$B$3:$E$72"),4,FALSE))</f>
        <v>53</v>
      </c>
      <c r="AH54" s="5">
        <f>IF(AG54="","",AG54+AD54)</f>
        <v>352</v>
      </c>
      <c r="AI54" s="5">
        <f ca="1">IF(AH54="","",RANK(AH54,INDIRECT("AH"&amp;VLOOKUP($A54,$BA$1:$BC$3,2,FALSE)&amp;":AH"&amp;VLOOKUP($A54,$BA$1:$BC$3,3,FALSE)),1))</f>
        <v>11</v>
      </c>
      <c r="AJ54" s="6">
        <f>IF(AG54="","",RANK(AH54,AH$4:AH$100,1))</f>
        <v>48</v>
      </c>
      <c r="AK54" s="4">
        <f ca="1">IF(ISNA(VLOOKUP($B54,INDIRECT("'"&amp;AK$2&amp;"'!$B$3:$E$72"),4,FALSE)),"",VLOOKUP($B54,INDIRECT("'"&amp;AK$2&amp;"'!$B$3:$E$72"),4,FALSE))</f>
        <v>48</v>
      </c>
      <c r="AL54" s="5">
        <f>IF(AK54="","",AK54+AH54)</f>
        <v>400</v>
      </c>
      <c r="AM54" s="5">
        <f ca="1">IF(AL54="","",RANK(AL54,INDIRECT("AL"&amp;VLOOKUP($A54,$BA$1:$BC$3,2,FALSE)&amp;":AL"&amp;VLOOKUP($A54,$BA$1:$BC$3,3,FALSE)),1))</f>
        <v>11</v>
      </c>
      <c r="AN54" s="6">
        <f>IF(AK54="","",RANK(AL54,AL$4:AL$100,1))</f>
        <v>47</v>
      </c>
      <c r="AO54" s="4">
        <f ca="1">IF(ISNA(VLOOKUP($B54,INDIRECT("'"&amp;AO$2&amp;"'!$B$3:$E$72"),4,FALSE)),"",VLOOKUP($B54,INDIRECT("'"&amp;AO$2&amp;"'!$B$3:$E$72"),4,FALSE))</f>
        <v>53</v>
      </c>
      <c r="AP54" s="5">
        <f>IF(AO54="","",AO54+AL54)</f>
        <v>453</v>
      </c>
      <c r="AQ54" s="5">
        <f ca="1">IF(AP54="","",RANK(AP54,INDIRECT("AP"&amp;VLOOKUP($A54,$BA$1:$BC$3,2,FALSE)&amp;":AP"&amp;VLOOKUP($A54,$BA$1:$BC$3,3,FALSE)),1))</f>
        <v>11</v>
      </c>
      <c r="AR54" s="6">
        <f>IF(AO54="","",RANK(AP54,AP$4:AP$100,1))</f>
        <v>49</v>
      </c>
      <c r="AT54" s="4">
        <f>SUM(G54,I54,M54,Q54,U54,Y54,AC54,AG54,AK54,AO54)</f>
        <v>453</v>
      </c>
      <c r="AU54" s="5">
        <f ca="1">RANK(AT54,INDIRECT("AT"&amp;VLOOKUP($A54,$BA$1:$BC$3,2,FALSE)&amp;":AT"&amp;VLOOKUP($A54,$BA$1:$BC$3,3,FALSE)),1)</f>
        <v>11</v>
      </c>
      <c r="AV54" s="5">
        <f>RANK(AT54,$AT$4:$AT$100,1)</f>
        <v>49</v>
      </c>
      <c r="AW54" s="4">
        <f>MIN(G54,I54,M54,Q54,U54,Y54,AC54,AG54,AK54,AO54)</f>
        <v>21</v>
      </c>
      <c r="AX54" s="5">
        <f>MAX(G54,I54,M54,Q54,U54,Y54,AC54,AG54,AK54,AO54)</f>
        <v>53</v>
      </c>
      <c r="AY54" s="6">
        <f>MEDIAN(G54,I54,M54,Q54,U54,Y54,AC54,AG54,AK54,AO54)</f>
        <v>49</v>
      </c>
    </row>
    <row r="55" spans="1:51" ht="15.75">
      <c r="A55" s="14" t="s">
        <v>0</v>
      </c>
      <c r="B55" s="41">
        <v>68</v>
      </c>
      <c r="C55" s="40" t="str">
        <f>IF(ISBLANK(B55),"",VLOOKUP(B55,Entries!$A$4:$C$65,3,FALSE))</f>
        <v>Pitsea RC Ladies</v>
      </c>
      <c r="D55" s="4">
        <f>IF(AT55=0,"",AT55)</f>
        <v>487</v>
      </c>
      <c r="E55" s="2">
        <f ca="1">IF(OR(ISBLANK(D55),D55=0,D55=""),"",RANK(D55,INDIRECT("D"&amp;VLOOKUP($A55,$BA$1:$BC$3,2,FALSE)&amp;":D"&amp;VLOOKUP($A55,$BA$1:$BC$3,3,FALSE)),1))</f>
        <v>12</v>
      </c>
      <c r="F55" s="2">
        <f>IF(OR(ISBLANK(D55),D55=0,D55=""),"",RANK(D55,$D$4:$D$100,1))</f>
        <v>52</v>
      </c>
      <c r="G55" s="4">
        <f ca="1">IF(ISNA(VLOOKUP($B55,INDIRECT("'"&amp;G$2&amp;"'!$B$3:$E$72"),4,FALSE)),"",VLOOKUP($B55,INDIRECT("'"&amp;G$2&amp;"'!$B$3:$E$72"),4,FALSE))</f>
        <v>51</v>
      </c>
      <c r="H55" s="6">
        <f ca="1">IF(G55="","",RANK(G55,INDIRECT("G"&amp;VLOOKUP($A55,$BA$1:$BC$3,2,FALSE)&amp;":G"&amp;VLOOKUP($A55,$BA$1:$BC$3,3,FALSE)),1))</f>
        <v>13</v>
      </c>
      <c r="I55" s="5">
        <f ca="1">IF(ISNA(VLOOKUP($B55,INDIRECT("'"&amp;I$2&amp;"'!$B$3:$E$72"),4,FALSE)),"",VLOOKUP($B55,INDIRECT("'"&amp;I$2&amp;"'!$B$3:$E$72"),4,FALSE))</f>
        <v>51</v>
      </c>
      <c r="J55" s="2">
        <f>IF(I55="","",G55+I55)</f>
        <v>102</v>
      </c>
      <c r="K55" s="2">
        <f ca="1">IF(J55="","",RANK(J55,INDIRECT("J"&amp;VLOOKUP($A55,$BA$1:$BC$3,2,FALSE)&amp;":J"&amp;VLOOKUP($A55,$BA$1:$BC$3,3,FALSE)),1))</f>
        <v>13</v>
      </c>
      <c r="L55" s="6">
        <f>IF(I55="","",RANK(J55,J$4:J$100,1))</f>
        <v>52</v>
      </c>
      <c r="M55" s="4">
        <f ca="1">IF(ISNA(VLOOKUP($B55,INDIRECT("'"&amp;M$2&amp;"'!$B$3:$E$72"),4,FALSE)),"",VLOOKUP($B55,INDIRECT("'"&amp;M$2&amp;"'!$B$3:$E$72"),4,FALSE))</f>
        <v>48</v>
      </c>
      <c r="N55" s="2">
        <f>IF(M55="","",M55+J55)</f>
        <v>150</v>
      </c>
      <c r="O55" s="2">
        <f ca="1">IF(N55="","",RANK(N55,INDIRECT("N"&amp;VLOOKUP($A55,$BA$1:$BC$3,2,FALSE)&amp;":N"&amp;VLOOKUP($A55,$BA$1:$BC$3,3,FALSE)),1))</f>
        <v>14</v>
      </c>
      <c r="P55" s="6">
        <f>IF(M55="","",RANK(N55,N$4:N$100,1))</f>
        <v>53</v>
      </c>
      <c r="Q55" s="4">
        <f ca="1">IF(ISNA(VLOOKUP($B55,INDIRECT("'"&amp;Q$2&amp;"'!$B$3:$E$72"),4,FALSE)),"",VLOOKUP($B55,INDIRECT("'"&amp;Q$2&amp;"'!$B$3:$E$72"),4,FALSE))</f>
        <v>40</v>
      </c>
      <c r="R55" s="2">
        <f>IF(Q55="","",Q55+N55)</f>
        <v>190</v>
      </c>
      <c r="S55" s="2">
        <f ca="1">IF(R55="","",RANK(R55,INDIRECT("R"&amp;VLOOKUP($A55,$BA$1:$BC$3,2,FALSE)&amp;":R"&amp;VLOOKUP($A55,$BA$1:$BC$3,3,FALSE)),1))</f>
        <v>12</v>
      </c>
      <c r="T55" s="6">
        <f>IF(Q55="","",RANK(R55,R$4:R$100,1))</f>
        <v>51</v>
      </c>
      <c r="U55" s="4">
        <f ca="1">IF(ISNA(VLOOKUP($B55,INDIRECT("'"&amp;U$2&amp;"'!$B$3:$E$72"),4,FALSE)),"",VLOOKUP($B55,INDIRECT("'"&amp;U$2&amp;"'!$B$3:$E$72"),4,FALSE))</f>
        <v>35</v>
      </c>
      <c r="V55" s="2">
        <f>IF(U55="","",U55+R55)</f>
        <v>225</v>
      </c>
      <c r="W55" s="2">
        <f ca="1">IF(V55="","",RANK(V55,INDIRECT("V"&amp;VLOOKUP($A55,$BA$1:$BC$3,2,FALSE)&amp;":V"&amp;VLOOKUP($A55,$BA$1:$BC$3,3,FALSE)),1))</f>
        <v>11</v>
      </c>
      <c r="X55" s="6">
        <f>IF(U55="","",RANK(V55,V$4:V$100,1))</f>
        <v>47</v>
      </c>
      <c r="Y55" s="4">
        <f ca="1">IF(ISNA(VLOOKUP($B55,INDIRECT("'"&amp;Y$2&amp;"'!$B$3:$E$72"),4,FALSE)),"",VLOOKUP($B55,INDIRECT("'"&amp;Y$2&amp;"'!$B$3:$E$72"),4,FALSE))</f>
        <v>52</v>
      </c>
      <c r="Z55" s="2">
        <f>IF(Y55="","",Y55+V55)</f>
        <v>277</v>
      </c>
      <c r="AA55" s="2">
        <f ca="1">IF(Z55="","",RANK(Z55,INDIRECT("Z"&amp;VLOOKUP($A55,$BA$1:$BC$3,2,FALSE)&amp;":Z"&amp;VLOOKUP($A55,$BA$1:$BC$3,3,FALSE)),1))</f>
        <v>12</v>
      </c>
      <c r="AB55" s="6">
        <f>IF(Y55="","",RANK(Z55,Z$4:Z$100,1))</f>
        <v>49</v>
      </c>
      <c r="AC55" s="4">
        <f ca="1">IF(ISNA(VLOOKUP($B55,INDIRECT("'"&amp;AC$2&amp;"'!$B$3:$E$72"),4,FALSE)),"",VLOOKUP($B55,INDIRECT("'"&amp;AC$2&amp;"'!$B$3:$E$72"),4,FALSE))</f>
        <v>51</v>
      </c>
      <c r="AD55" s="2">
        <f>IF(AC55="","",AC55+Z55)</f>
        <v>328</v>
      </c>
      <c r="AE55" s="2">
        <f ca="1">IF(AD55="","",RANK(AD55,INDIRECT("AD"&amp;VLOOKUP($A55,$BA$1:$BC$3,2,FALSE)&amp;":AD"&amp;VLOOKUP($A55,$BA$1:$BC$3,3,FALSE)),1))</f>
        <v>12</v>
      </c>
      <c r="AF55" s="6">
        <f>IF(AC55="","",RANK(AD55,AD$4:AD$100,1))</f>
        <v>52</v>
      </c>
      <c r="AG55" s="4">
        <f ca="1">IF(ISNA(VLOOKUP($B55,INDIRECT("'"&amp;AG$2&amp;"'!$B$3:$E$72"),4,FALSE)),"",VLOOKUP($B55,INDIRECT("'"&amp;AG$2&amp;"'!$B$3:$E$72"),4,FALSE))</f>
        <v>56</v>
      </c>
      <c r="AH55" s="2">
        <f>IF(AG55="","",AG55+AD55)</f>
        <v>384</v>
      </c>
      <c r="AI55" s="2">
        <f ca="1">IF(AH55="","",RANK(AH55,INDIRECT("AH"&amp;VLOOKUP($A55,$BA$1:$BC$3,2,FALSE)&amp;":AH"&amp;VLOOKUP($A55,$BA$1:$BC$3,3,FALSE)),1))</f>
        <v>12</v>
      </c>
      <c r="AJ55" s="6">
        <f>IF(AG55="","",RANK(AH55,AH$4:AH$100,1))</f>
        <v>52</v>
      </c>
      <c r="AK55" s="4">
        <f ca="1">IF(ISNA(VLOOKUP($B55,INDIRECT("'"&amp;AK$2&amp;"'!$B$3:$E$72"),4,FALSE)),"",VLOOKUP($B55,INDIRECT("'"&amp;AK$2&amp;"'!$B$3:$E$72"),4,FALSE))</f>
        <v>56</v>
      </c>
      <c r="AL55" s="2">
        <f>IF(AK55="","",AK55+AH55)</f>
        <v>440</v>
      </c>
      <c r="AM55" s="2">
        <f ca="1">IF(AL55="","",RANK(AL55,INDIRECT("AL"&amp;VLOOKUP($A55,$BA$1:$BC$3,2,FALSE)&amp;":AL"&amp;VLOOKUP($A55,$BA$1:$BC$3,3,FALSE)),1))</f>
        <v>12</v>
      </c>
      <c r="AN55" s="6">
        <f>IF(AK55="","",RANK(AL55,AL$4:AL$100,1))</f>
        <v>52</v>
      </c>
      <c r="AO55" s="4">
        <f ca="1">IF(ISNA(VLOOKUP($B55,INDIRECT("'"&amp;AO$2&amp;"'!$B$3:$E$72"),4,FALSE)),"",VLOOKUP($B55,INDIRECT("'"&amp;AO$2&amp;"'!$B$3:$E$72"),4,FALSE))</f>
        <v>47</v>
      </c>
      <c r="AP55" s="2">
        <f>IF(AO55="","",AO55+AL55)</f>
        <v>487</v>
      </c>
      <c r="AQ55" s="2">
        <f ca="1">IF(AP55="","",RANK(AP55,INDIRECT("AP"&amp;VLOOKUP($A55,$BA$1:$BC$3,2,FALSE)&amp;":AP"&amp;VLOOKUP($A55,$BA$1:$BC$3,3,FALSE)),1))</f>
        <v>12</v>
      </c>
      <c r="AR55" s="6">
        <f>IF(AO55="","",RANK(AP55,AP$4:AP$100,1))</f>
        <v>52</v>
      </c>
      <c r="AT55" s="4">
        <f>SUM(G55,I55,M55,Q55,U55,Y55,AC55,AG55,AK55,AO55)</f>
        <v>487</v>
      </c>
      <c r="AU55" s="2">
        <f ca="1">RANK(AT55,INDIRECT("AT"&amp;VLOOKUP($A55,$BA$1:$BC$3,2,FALSE)&amp;":AT"&amp;VLOOKUP($A55,$BA$1:$BC$3,3,FALSE)),1)</f>
        <v>12</v>
      </c>
      <c r="AV55" s="2">
        <f>RANK(AT55,$AT$4:$AT$100,1)</f>
        <v>52</v>
      </c>
      <c r="AW55" s="4">
        <f>MIN(G55,I55,M55,Q55,U55,Y55,AC55,AG55,AK55,AO55)</f>
        <v>35</v>
      </c>
      <c r="AX55" s="2">
        <f>MAX(G55,I55,M55,Q55,U55,Y55,AC55,AG55,AK55,AO55)</f>
        <v>56</v>
      </c>
      <c r="AY55" s="6">
        <f>MEDIAN(G55,I55,M55,Q55,U55,Y55,AC55,AG55,AK55,AO55)</f>
        <v>51</v>
      </c>
    </row>
    <row r="56" spans="1:51" s="58" customFormat="1" ht="15.75">
      <c r="A56" s="14" t="s">
        <v>0</v>
      </c>
      <c r="B56" s="41">
        <v>63</v>
      </c>
      <c r="C56" s="57" t="str">
        <f>IF(ISBLANK(B56),"",VLOOKUP(B56,Entries!$A$4:$C$65,3,FALSE))</f>
        <v>Billericay Striders</v>
      </c>
      <c r="D56" s="4">
        <f>IF(AT56=0,"",AT56)</f>
        <v>574</v>
      </c>
      <c r="E56" s="5">
        <f ca="1">IF(OR(ISBLANK(D56),D56=0,D56=""),"",RANK(D56,INDIRECT("D"&amp;VLOOKUP($A56,$BA$1:$BC$3,2,FALSE)&amp;":D"&amp;VLOOKUP($A56,$BA$1:$BC$3,3,FALSE)),1))</f>
        <v>13</v>
      </c>
      <c r="F56" s="5">
        <f>IF(OR(ISBLANK(D56),D56=0,D56=""),"",RANK(D56,$D$4:$D$100,1))</f>
        <v>56</v>
      </c>
      <c r="G56" s="4">
        <f ca="1">IF(ISNA(VLOOKUP($B56,INDIRECT("'"&amp;G$2&amp;"'!$B$3:$E$72"),4,FALSE)),"",VLOOKUP($B56,INDIRECT("'"&amp;G$2&amp;"'!$B$3:$E$72"),4,FALSE))</f>
        <v>42</v>
      </c>
      <c r="H56" s="6">
        <f ca="1">IF(G56="","",RANK(G56,INDIRECT("G"&amp;VLOOKUP($A56,$BA$1:$BC$3,2,FALSE)&amp;":G"&amp;VLOOKUP($A56,$BA$1:$BC$3,3,FALSE)),1))</f>
        <v>9</v>
      </c>
      <c r="I56" s="5">
        <f ca="1">IF(ISNA(VLOOKUP($B56,INDIRECT("'"&amp;I$2&amp;"'!$B$3:$E$72"),4,FALSE)),"",VLOOKUP($B56,INDIRECT("'"&amp;I$2&amp;"'!$B$3:$E$72"),4,FALSE))</f>
        <v>57</v>
      </c>
      <c r="J56" s="5">
        <f>IF(I56="","",G56+I56)</f>
        <v>99</v>
      </c>
      <c r="K56" s="5">
        <f ca="1">IF(J56="","",RANK(J56,INDIRECT("J"&amp;VLOOKUP($A56,$BA$1:$BC$3,2,FALSE)&amp;":J"&amp;VLOOKUP($A56,$BA$1:$BC$3,3,FALSE)),1))</f>
        <v>12</v>
      </c>
      <c r="L56" s="6">
        <f>IF(I56="","",RANK(J56,J$4:J$100,1))</f>
        <v>50</v>
      </c>
      <c r="M56" s="4">
        <f ca="1">IF(ISNA(VLOOKUP($B56,INDIRECT("'"&amp;M$2&amp;"'!$B$3:$E$72"),4,FALSE)),"",VLOOKUP($B56,INDIRECT("'"&amp;M$2&amp;"'!$B$3:$E$72"),4,FALSE))</f>
        <v>45</v>
      </c>
      <c r="N56" s="5">
        <f>IF(M56="","",M56+J56)</f>
        <v>144</v>
      </c>
      <c r="O56" s="5">
        <f ca="1">IF(N56="","",RANK(N56,INDIRECT("N"&amp;VLOOKUP($A56,$BA$1:$BC$3,2,FALSE)&amp;":N"&amp;VLOOKUP($A56,$BA$1:$BC$3,3,FALSE)),1))</f>
        <v>13</v>
      </c>
      <c r="P56" s="6">
        <f>IF(M56="","",RANK(N56,N$4:N$100,1))</f>
        <v>51</v>
      </c>
      <c r="Q56" s="4">
        <f ca="1">IF(ISNA(VLOOKUP($B56,INDIRECT("'"&amp;Q$2&amp;"'!$B$3:$E$72"),4,FALSE)),"",VLOOKUP($B56,INDIRECT("'"&amp;Q$2&amp;"'!$B$3:$E$72"),4,FALSE))</f>
        <v>100</v>
      </c>
      <c r="R56" s="5">
        <f>IF(Q56="","",Q56+N56)</f>
        <v>244</v>
      </c>
      <c r="S56" s="5">
        <f ca="1">IF(R56="","",RANK(R56,INDIRECT("R"&amp;VLOOKUP($A56,$BA$1:$BC$3,2,FALSE)&amp;":R"&amp;VLOOKUP($A56,$BA$1:$BC$3,3,FALSE)),1))</f>
        <v>14</v>
      </c>
      <c r="T56" s="6">
        <f>IF(Q56="","",RANK(R56,R$4:R$100,1))</f>
        <v>57</v>
      </c>
      <c r="U56" s="4">
        <f ca="1">IF(ISNA(VLOOKUP($B56,INDIRECT("'"&amp;U$2&amp;"'!$B$3:$E$72"),4,FALSE)),"",VLOOKUP($B56,INDIRECT("'"&amp;U$2&amp;"'!$B$3:$E$72"),4,FALSE))</f>
        <v>53</v>
      </c>
      <c r="V56" s="5">
        <f>IF(U56="","",U56+R56)</f>
        <v>297</v>
      </c>
      <c r="W56" s="5">
        <f ca="1">IF(V56="","",RANK(V56,INDIRECT("V"&amp;VLOOKUP($A56,$BA$1:$BC$3,2,FALSE)&amp;":V"&amp;VLOOKUP($A56,$BA$1:$BC$3,3,FALSE)),1))</f>
        <v>14</v>
      </c>
      <c r="X56" s="6">
        <f>IF(U56="","",RANK(V56,V$4:V$100,1))</f>
        <v>57</v>
      </c>
      <c r="Y56" s="4">
        <f ca="1">IF(ISNA(VLOOKUP($B56,INDIRECT("'"&amp;Y$2&amp;"'!$B$3:$E$72"),4,FALSE)),"",VLOOKUP($B56,INDIRECT("'"&amp;Y$2&amp;"'!$B$3:$E$72"),4,FALSE))</f>
        <v>49</v>
      </c>
      <c r="Z56" s="5">
        <f>IF(Y56="","",Y56+V56)</f>
        <v>346</v>
      </c>
      <c r="AA56" s="5">
        <f ca="1">IF(Z56="","",RANK(Z56,INDIRECT("Z"&amp;VLOOKUP($A56,$BA$1:$BC$3,2,FALSE)&amp;":Z"&amp;VLOOKUP($A56,$BA$1:$BC$3,3,FALSE)),1))</f>
        <v>14</v>
      </c>
      <c r="AB56" s="6">
        <f>IF(Y56="","",RANK(Z56,Z$4:Z$100,1))</f>
        <v>57</v>
      </c>
      <c r="AC56" s="4">
        <f ca="1">IF(ISNA(VLOOKUP($B56,INDIRECT("'"&amp;AC$2&amp;"'!$B$3:$E$72"),4,FALSE)),"",VLOOKUP($B56,INDIRECT("'"&amp;AC$2&amp;"'!$B$3:$E$72"),4,FALSE))</f>
        <v>100</v>
      </c>
      <c r="AD56" s="5">
        <f>IF(AC56="","",AC56+Z56)</f>
        <v>446</v>
      </c>
      <c r="AE56" s="5">
        <f ca="1">IF(AD56="","",RANK(AD56,INDIRECT("AD"&amp;VLOOKUP($A56,$BA$1:$BC$3,2,FALSE)&amp;":AD"&amp;VLOOKUP($A56,$BA$1:$BC$3,3,FALSE)),1))</f>
        <v>14</v>
      </c>
      <c r="AF56" s="6">
        <f>IF(AC56="","",RANK(AD56,AD$4:AD$100,1))</f>
        <v>57</v>
      </c>
      <c r="AG56" s="4">
        <f ca="1">IF(ISNA(VLOOKUP($B56,INDIRECT("'"&amp;AG$2&amp;"'!$B$3:$E$72"),4,FALSE)),"",VLOOKUP($B56,INDIRECT("'"&amp;AG$2&amp;"'!$B$3:$E$72"),4,FALSE))</f>
        <v>50</v>
      </c>
      <c r="AH56" s="5">
        <f>IF(AG56="","",AG56+AD56)</f>
        <v>496</v>
      </c>
      <c r="AI56" s="5">
        <f ca="1">IF(AH56="","",RANK(AH56,INDIRECT("AH"&amp;VLOOKUP($A56,$BA$1:$BC$3,2,FALSE)&amp;":AH"&amp;VLOOKUP($A56,$BA$1:$BC$3,3,FALSE)),1))</f>
        <v>13</v>
      </c>
      <c r="AJ56" s="6">
        <f>IF(AG56="","",RANK(AH56,AH$4:AH$100,1))</f>
        <v>56</v>
      </c>
      <c r="AK56" s="4">
        <f ca="1">IF(ISNA(VLOOKUP($B56,INDIRECT("'"&amp;AK$2&amp;"'!$B$3:$E$72"),4,FALSE)),"",VLOOKUP($B56,INDIRECT("'"&amp;AK$2&amp;"'!$B$3:$E$72"),4,FALSE))</f>
        <v>43</v>
      </c>
      <c r="AL56" s="5">
        <f>IF(AK56="","",AK56+AH56)</f>
        <v>539</v>
      </c>
      <c r="AM56" s="5">
        <f ca="1">IF(AL56="","",RANK(AL56,INDIRECT("AL"&amp;VLOOKUP($A56,$BA$1:$BC$3,2,FALSE)&amp;":AL"&amp;VLOOKUP($A56,$BA$1:$BC$3,3,FALSE)),1))</f>
        <v>13</v>
      </c>
      <c r="AN56" s="6">
        <f>IF(AK56="","",RANK(AL56,AL$4:AL$100,1))</f>
        <v>56</v>
      </c>
      <c r="AO56" s="4">
        <f ca="1">IF(ISNA(VLOOKUP($B56,INDIRECT("'"&amp;AO$2&amp;"'!$B$3:$E$72"),4,FALSE)),"",VLOOKUP($B56,INDIRECT("'"&amp;AO$2&amp;"'!$B$3:$E$72"),4,FALSE))</f>
        <v>35</v>
      </c>
      <c r="AP56" s="5">
        <f>IF(AO56="","",AO56+AL56)</f>
        <v>574</v>
      </c>
      <c r="AQ56" s="5">
        <f ca="1">IF(AP56="","",RANK(AP56,INDIRECT("AP"&amp;VLOOKUP($A56,$BA$1:$BC$3,2,FALSE)&amp;":AP"&amp;VLOOKUP($A56,$BA$1:$BC$3,3,FALSE)),1))</f>
        <v>13</v>
      </c>
      <c r="AR56" s="6">
        <f>IF(AO56="","",RANK(AP56,AP$4:AP$100,1))</f>
        <v>56</v>
      </c>
      <c r="AS56" s="1"/>
      <c r="AT56" s="4">
        <f>SUM(G56,I56,M56,Q56,U56,Y56,AC56,AG56,AK56,AO56)</f>
        <v>574</v>
      </c>
      <c r="AU56" s="5">
        <f ca="1">RANK(AT56,INDIRECT("AT"&amp;VLOOKUP($A56,$BA$1:$BC$3,2,FALSE)&amp;":AT"&amp;VLOOKUP($A56,$BA$1:$BC$3,3,FALSE)),1)</f>
        <v>13</v>
      </c>
      <c r="AV56" s="5">
        <f>RANK(AT56,$AT$4:$AT$100,1)</f>
        <v>56</v>
      </c>
      <c r="AW56" s="4">
        <f>MIN(G56,I56,M56,Q56,U56,Y56,AC56,AG56,AK56,AO56)</f>
        <v>35</v>
      </c>
      <c r="AX56" s="5">
        <f>MAX(G56,I56,M56,Q56,U56,Y56,AC56,AG56,AK56,AO56)</f>
        <v>100</v>
      </c>
      <c r="AY56" s="6">
        <f>MEDIAN(G56,I56,M56,Q56,U56,Y56,AC56,AG56,AK56,AO56)</f>
        <v>49.5</v>
      </c>
    </row>
    <row r="57" spans="1:51" s="37" customFormat="1" ht="15.75">
      <c r="A57" s="15" t="s">
        <v>0</v>
      </c>
      <c r="B57" s="42">
        <v>67</v>
      </c>
      <c r="C57" s="57" t="str">
        <f>IF(ISBLANK(B57),"",VLOOKUP(B57,Entries!$A$4:$C$65,3,FALSE))</f>
        <v>TGT Ladies B</v>
      </c>
      <c r="D57" s="8">
        <f>IF(AT57=0,"",AT57)</f>
        <v>620</v>
      </c>
      <c r="E57" s="8">
        <f ca="1">IF(OR(ISBLANK(D57),D57=0,D57=""),"",RANK(D57,INDIRECT("D"&amp;VLOOKUP($A57,$BA$1:$BC$3,2,FALSE)&amp;":D"&amp;VLOOKUP($A57,$BA$1:$BC$3,3,FALSE)),1))</f>
        <v>14</v>
      </c>
      <c r="F57" s="8">
        <f>IF(OR(ISBLANK(D57),D57=0,D57=""),"",RANK(D57,$D$4:$D$100,1))</f>
        <v>57</v>
      </c>
      <c r="G57" s="8">
        <f ca="1">IF(ISNA(VLOOKUP($B57,INDIRECT("'"&amp;G$2&amp;"'!$B$3:$E$72"),4,FALSE)),"",VLOOKUP($B57,INDIRECT("'"&amp;G$2&amp;"'!$B$3:$E$72"),4,FALSE))</f>
        <v>43</v>
      </c>
      <c r="H57" s="9">
        <f ca="1">IF(G57="","",RANK(G57,INDIRECT("G"&amp;VLOOKUP($A57,$BA$1:$BC$3,2,FALSE)&amp;":G"&amp;VLOOKUP($A57,$BA$1:$BC$3,3,FALSE)),1))</f>
        <v>10</v>
      </c>
      <c r="I57" s="8">
        <f ca="1">IF(ISNA(VLOOKUP($B57,INDIRECT("'"&amp;I$2&amp;"'!$B$3:$E$72"),4,FALSE)),"",VLOOKUP($B57,INDIRECT("'"&amp;I$2&amp;"'!$B$3:$E$72"),4,FALSE))</f>
        <v>40</v>
      </c>
      <c r="J57" s="8">
        <f>IF(I57="","",G57+I57)</f>
        <v>83</v>
      </c>
      <c r="K57" s="8">
        <f ca="1">IF(J57="","",RANK(J57,INDIRECT("J"&amp;VLOOKUP($A57,$BA$1:$BC$3,2,FALSE)&amp;":J"&amp;VLOOKUP($A57,$BA$1:$BC$3,3,FALSE)),1))</f>
        <v>9</v>
      </c>
      <c r="L57" s="9">
        <f>IF(I57="","",RANK(J57,J$4:J$100,1))</f>
        <v>41</v>
      </c>
      <c r="M57" s="8">
        <f ca="1">IF(ISNA(VLOOKUP($B57,INDIRECT("'"&amp;M$2&amp;"'!$B$3:$E$72"),4,FALSE)),"",VLOOKUP($B57,INDIRECT("'"&amp;M$2&amp;"'!$B$3:$E$72"),4,FALSE))</f>
        <v>55</v>
      </c>
      <c r="N57" s="8">
        <f>IF(M57="","",M57+J57)</f>
        <v>138</v>
      </c>
      <c r="O57" s="8">
        <f ca="1">IF(N57="","",RANK(N57,INDIRECT("N"&amp;VLOOKUP($A57,$BA$1:$BC$3,2,FALSE)&amp;":N"&amp;VLOOKUP($A57,$BA$1:$BC$3,3,FALSE)),1))</f>
        <v>11</v>
      </c>
      <c r="P57" s="9">
        <f>IF(M57="","",RANK(N57,N$4:N$100,1))</f>
        <v>47</v>
      </c>
      <c r="Q57" s="8">
        <f ca="1">IF(ISNA(VLOOKUP($B57,INDIRECT("'"&amp;Q$2&amp;"'!$B$3:$E$72"),4,FALSE)),"",VLOOKUP($B57,INDIRECT("'"&amp;Q$2&amp;"'!$B$3:$E$72"),4,FALSE))</f>
        <v>100</v>
      </c>
      <c r="R57" s="8">
        <f>IF(Q57="","",Q57+N57)</f>
        <v>238</v>
      </c>
      <c r="S57" s="8">
        <f ca="1">IF(R57="","",RANK(R57,INDIRECT("R"&amp;VLOOKUP($A57,$BA$1:$BC$3,2,FALSE)&amp;":R"&amp;VLOOKUP($A57,$BA$1:$BC$3,3,FALSE)),1))</f>
        <v>13</v>
      </c>
      <c r="T57" s="9">
        <f>IF(Q57="","",RANK(R57,R$4:R$100,1))</f>
        <v>55</v>
      </c>
      <c r="U57" s="8">
        <f ca="1">IF(ISNA(VLOOKUP($B57,INDIRECT("'"&amp;U$2&amp;"'!$B$3:$E$72"),4,FALSE)),"",VLOOKUP($B57,INDIRECT("'"&amp;U$2&amp;"'!$B$3:$E$72"),4,FALSE))</f>
        <v>48</v>
      </c>
      <c r="V57" s="8">
        <f>IF(U57="","",U57+R57)</f>
        <v>286</v>
      </c>
      <c r="W57" s="8">
        <f ca="1">IF(V57="","",RANK(V57,INDIRECT("V"&amp;VLOOKUP($A57,$BA$1:$BC$3,2,FALSE)&amp;":V"&amp;VLOOKUP($A57,$BA$1:$BC$3,3,FALSE)),1))</f>
        <v>13</v>
      </c>
      <c r="X57" s="9">
        <f>IF(U57="","",RANK(V57,V$4:V$100,1))</f>
        <v>55</v>
      </c>
      <c r="Y57" s="8">
        <f ca="1">IF(ISNA(VLOOKUP($B57,INDIRECT("'"&amp;Y$2&amp;"'!$B$3:$E$72"),4,FALSE)),"",VLOOKUP($B57,INDIRECT("'"&amp;Y$2&amp;"'!$B$3:$E$72"),4,FALSE))</f>
        <v>53</v>
      </c>
      <c r="Z57" s="8">
        <f>IF(Y57="","",Y57+V57)</f>
        <v>339</v>
      </c>
      <c r="AA57" s="8">
        <f ca="1">IF(Z57="","",RANK(Z57,INDIRECT("Z"&amp;VLOOKUP($A57,$BA$1:$BC$3,2,FALSE)&amp;":Z"&amp;VLOOKUP($A57,$BA$1:$BC$3,3,FALSE)),1))</f>
        <v>13</v>
      </c>
      <c r="AB57" s="9">
        <f>IF(Y57="","",RANK(Z57,Z$4:Z$100,1))</f>
        <v>54</v>
      </c>
      <c r="AC57" s="8">
        <f ca="1">IF(ISNA(VLOOKUP($B57,INDIRECT("'"&amp;AC$2&amp;"'!$B$3:$E$72"),4,FALSE)),"",VLOOKUP($B57,INDIRECT("'"&amp;AC$2&amp;"'!$B$3:$E$72"),4,FALSE))</f>
        <v>100</v>
      </c>
      <c r="AD57" s="8">
        <f>IF(AC57="","",AC57+Z57)</f>
        <v>439</v>
      </c>
      <c r="AE57" s="8">
        <f ca="1">IF(AD57="","",RANK(AD57,INDIRECT("AD"&amp;VLOOKUP($A57,$BA$1:$BC$3,2,FALSE)&amp;":AD"&amp;VLOOKUP($A57,$BA$1:$BC$3,3,FALSE)),1))</f>
        <v>13</v>
      </c>
      <c r="AF57" s="9">
        <f>IF(AC57="","",RANK(AD57,AD$4:AD$100,1))</f>
        <v>55</v>
      </c>
      <c r="AG57" s="8">
        <f ca="1">IF(ISNA(VLOOKUP($B57,INDIRECT("'"&amp;AG$2&amp;"'!$B$3:$E$72"),4,FALSE)),"",VLOOKUP($B57,INDIRECT("'"&amp;AG$2&amp;"'!$B$3:$E$72"),4,FALSE))</f>
        <v>100</v>
      </c>
      <c r="AH57" s="8">
        <f>IF(AG57="","",AG57+AD57)</f>
        <v>539</v>
      </c>
      <c r="AI57" s="8">
        <f ca="1">IF(AH57="","",RANK(AH57,INDIRECT("AH"&amp;VLOOKUP($A57,$BA$1:$BC$3,2,FALSE)&amp;":AH"&amp;VLOOKUP($A57,$BA$1:$BC$3,3,FALSE)),1))</f>
        <v>14</v>
      </c>
      <c r="AJ57" s="9">
        <f>IF(AG57="","",RANK(AH57,AH$4:AH$100,1))</f>
        <v>57</v>
      </c>
      <c r="AK57" s="8">
        <f ca="1">IF(ISNA(VLOOKUP($B57,INDIRECT("'"&amp;AK$2&amp;"'!$B$3:$E$72"),4,FALSE)),"",VLOOKUP($B57,INDIRECT("'"&amp;AK$2&amp;"'!$B$3:$E$72"),4,FALSE))</f>
        <v>35</v>
      </c>
      <c r="AL57" s="8">
        <f>IF(AK57="","",AK57+AH57)</f>
        <v>574</v>
      </c>
      <c r="AM57" s="8">
        <f ca="1">IF(AL57="","",RANK(AL57,INDIRECT("AL"&amp;VLOOKUP($A57,$BA$1:$BC$3,2,FALSE)&amp;":AL"&amp;VLOOKUP($A57,$BA$1:$BC$3,3,FALSE)),1))</f>
        <v>14</v>
      </c>
      <c r="AN57" s="9">
        <f>IF(AK57="","",RANK(AL57,AL$4:AL$100,1))</f>
        <v>57</v>
      </c>
      <c r="AO57" s="8">
        <f ca="1">IF(ISNA(VLOOKUP($B57,INDIRECT("'"&amp;AO$2&amp;"'!$B$3:$E$72"),4,FALSE)),"",VLOOKUP($B57,INDIRECT("'"&amp;AO$2&amp;"'!$B$3:$E$72"),4,FALSE))</f>
        <v>46</v>
      </c>
      <c r="AP57" s="8">
        <f>IF(AO57="","",AO57+AL57)</f>
        <v>620</v>
      </c>
      <c r="AQ57" s="8">
        <f ca="1">IF(AP57="","",RANK(AP57,INDIRECT("AP"&amp;VLOOKUP($A57,$BA$1:$BC$3,2,FALSE)&amp;":AP"&amp;VLOOKUP($A57,$BA$1:$BC$3,3,FALSE)),1))</f>
        <v>14</v>
      </c>
      <c r="AR57" s="9">
        <f>IF(AO57="","",RANK(AP57,AP$4:AP$100,1))</f>
        <v>57</v>
      </c>
      <c r="AS57" s="51"/>
      <c r="AT57" s="8">
        <f>SUM(G57,I57,M57,Q57,U57,Y57,AC57,AG57,AK57,AO57)</f>
        <v>620</v>
      </c>
      <c r="AU57" s="8">
        <f ca="1">RANK(AT57,INDIRECT("AT"&amp;VLOOKUP($A57,$BA$1:$BC$3,2,FALSE)&amp;":AT"&amp;VLOOKUP($A57,$BA$1:$BC$3,3,FALSE)),1)</f>
        <v>14</v>
      </c>
      <c r="AV57" s="9">
        <f>RANK(AT57,$AT$4:$AT$100,1)</f>
        <v>57</v>
      </c>
      <c r="AW57" s="8">
        <f>MIN(G57,I57,M57,Q57,U57,Y57,AC57,AG57,AK57,AO57)</f>
        <v>35</v>
      </c>
      <c r="AX57" s="8">
        <f>MAX(G57,I57,M57,Q57,U57,Y57,AC57,AG57,AK57,AO57)</f>
        <v>100</v>
      </c>
      <c r="AY57" s="9">
        <f>MEDIAN(G57,I57,M57,Q57,U57,Y57,AC57,AG57,AK57,AO57)</f>
        <v>50.5</v>
      </c>
    </row>
    <row r="58" spans="1:51" ht="15.75">
      <c r="A58" s="14" t="s">
        <v>2</v>
      </c>
      <c r="B58" s="60">
        <v>50</v>
      </c>
      <c r="C58" s="62" t="str">
        <f>IF(ISBLANK(B58),"",VLOOKUP(B58,Entries!$A$4:$C$65,3,FALSE))</f>
        <v>Harwich Runners Vets</v>
      </c>
      <c r="D58" s="2">
        <f>IF(AT58=0,"",AT58)</f>
        <v>135</v>
      </c>
      <c r="E58" s="2">
        <f ca="1">IF(OR(ISBLANK(D58),D58=0,D58=""),"",RANK(D58,INDIRECT("D"&amp;VLOOKUP($A58,$BA$1:$BC$3,2,FALSE)&amp;":D"&amp;VLOOKUP($A58,$BA$1:$BC$3,3,FALSE)),1))</f>
        <v>1</v>
      </c>
      <c r="F58" s="2">
        <f>IF(OR(ISBLANK(D58),D58=0,D58=""),"",RANK(D58,$D$4:$D$100,1))</f>
        <v>10</v>
      </c>
      <c r="G58" s="2">
        <f ca="1">IF(ISNA(VLOOKUP($B58,INDIRECT("'"&amp;G$2&amp;"'!$B$3:$E$72"),4,FALSE)),"",VLOOKUP($B58,INDIRECT("'"&amp;G$2&amp;"'!$B$3:$E$72"),4,FALSE))</f>
        <v>20</v>
      </c>
      <c r="H58" s="6">
        <f ca="1">IF(G58="","",RANK(G58,INDIRECT("G"&amp;VLOOKUP($A58,$BA$1:$BC$3,2,FALSE)&amp;":G"&amp;VLOOKUP($A58,$BA$1:$BC$3,3,FALSE)),1))</f>
        <v>2</v>
      </c>
      <c r="I58" s="2">
        <f ca="1">IF(ISNA(VLOOKUP($B58,INDIRECT("'"&amp;I$2&amp;"'!$B$3:$E$72"),4,FALSE)),"",VLOOKUP($B58,INDIRECT("'"&amp;I$2&amp;"'!$B$3:$E$72"),4,FALSE))</f>
        <v>11</v>
      </c>
      <c r="J58" s="2">
        <f>IF(I58="","",G58+I58)</f>
        <v>31</v>
      </c>
      <c r="K58" s="2">
        <f ca="1">IF(J58="","",RANK(J58,INDIRECT("J"&amp;VLOOKUP($A58,$BA$1:$BC$3,2,FALSE)&amp;":J"&amp;VLOOKUP($A58,$BA$1:$BC$3,3,FALSE)),1))</f>
        <v>2</v>
      </c>
      <c r="L58" s="6">
        <f>IF(I58="","",RANK(J58,J$4:J$100,1))</f>
        <v>14</v>
      </c>
      <c r="M58" s="2">
        <f ca="1">IF(ISNA(VLOOKUP($B58,INDIRECT("'"&amp;M$2&amp;"'!$B$3:$E$72"),4,FALSE)),"",VLOOKUP($B58,INDIRECT("'"&amp;M$2&amp;"'!$B$3:$E$72"),4,FALSE))</f>
        <v>18</v>
      </c>
      <c r="N58" s="2">
        <f>IF(M58="","",M58+J58)</f>
        <v>49</v>
      </c>
      <c r="O58" s="2">
        <f ca="1">IF(N58="","",RANK(N58,INDIRECT("N"&amp;VLOOKUP($A58,$BA$1:$BC$3,2,FALSE)&amp;":N"&amp;VLOOKUP($A58,$BA$1:$BC$3,3,FALSE)),1))</f>
        <v>2</v>
      </c>
      <c r="P58" s="6">
        <f>IF(M58="","",RANK(N58,N$4:N$100,1))</f>
        <v>14</v>
      </c>
      <c r="Q58" s="2">
        <f ca="1">IF(ISNA(VLOOKUP($B58,INDIRECT("'"&amp;Q$2&amp;"'!$B$3:$E$72"),4,FALSE)),"",VLOOKUP($B58,INDIRECT("'"&amp;Q$2&amp;"'!$B$3:$E$72"),4,FALSE))</f>
        <v>17</v>
      </c>
      <c r="R58" s="2">
        <f>IF(Q58="","",Q58+N58)</f>
        <v>66</v>
      </c>
      <c r="S58" s="2">
        <f ca="1">IF(R58="","",RANK(R58,INDIRECT("R"&amp;VLOOKUP($A58,$BA$1:$BC$3,2,FALSE)&amp;":R"&amp;VLOOKUP($A58,$BA$1:$BC$3,3,FALSE)),1))</f>
        <v>1</v>
      </c>
      <c r="T58" s="6">
        <f>IF(Q58="","",RANK(R58,R$4:R$100,1))</f>
        <v>13</v>
      </c>
      <c r="U58" s="2">
        <f ca="1">IF(ISNA(VLOOKUP($B58,INDIRECT("'"&amp;U$2&amp;"'!$B$3:$E$72"),4,FALSE)),"",VLOOKUP($B58,INDIRECT("'"&amp;U$2&amp;"'!$B$3:$E$72"),4,FALSE))</f>
        <v>6</v>
      </c>
      <c r="V58" s="2">
        <f>IF(U58="","",U58+R58)</f>
        <v>72</v>
      </c>
      <c r="W58" s="2">
        <f ca="1">IF(V58="","",RANK(V58,INDIRECT("V"&amp;VLOOKUP($A58,$BA$1:$BC$3,2,FALSE)&amp;":V"&amp;VLOOKUP($A58,$BA$1:$BC$3,3,FALSE)),1))</f>
        <v>1</v>
      </c>
      <c r="X58" s="6">
        <f>IF(U58="","",RANK(V58,V$4:V$100,1))</f>
        <v>11</v>
      </c>
      <c r="Y58" s="2">
        <f ca="1">IF(ISNA(VLOOKUP($B58,INDIRECT("'"&amp;Y$2&amp;"'!$B$3:$E$72"),4,FALSE)),"",VLOOKUP($B58,INDIRECT("'"&amp;Y$2&amp;"'!$B$3:$E$72"),4,FALSE))</f>
        <v>10</v>
      </c>
      <c r="Z58" s="2">
        <f>IF(Y58="","",Y58+V58)</f>
        <v>82</v>
      </c>
      <c r="AA58" s="2">
        <f ca="1">IF(Z58="","",RANK(Z58,INDIRECT("Z"&amp;VLOOKUP($A58,$BA$1:$BC$3,2,FALSE)&amp;":Z"&amp;VLOOKUP($A58,$BA$1:$BC$3,3,FALSE)),1))</f>
        <v>1</v>
      </c>
      <c r="AB58" s="6">
        <f>IF(Y58="","",RANK(Z58,Z$4:Z$100,1))</f>
        <v>11</v>
      </c>
      <c r="AC58" s="2">
        <f ca="1">IF(ISNA(VLOOKUP($B58,INDIRECT("'"&amp;AC$2&amp;"'!$B$3:$E$72"),4,FALSE)),"",VLOOKUP($B58,INDIRECT("'"&amp;AC$2&amp;"'!$B$3:$E$72"),4,FALSE))</f>
        <v>21</v>
      </c>
      <c r="AD58" s="2">
        <f>IF(AC58="","",AC58+Z58)</f>
        <v>103</v>
      </c>
      <c r="AE58" s="2">
        <f ca="1">IF(AD58="","",RANK(AD58,INDIRECT("AD"&amp;VLOOKUP($A58,$BA$1:$BC$3,2,FALSE)&amp;":AD"&amp;VLOOKUP($A58,$BA$1:$BC$3,3,FALSE)),1))</f>
        <v>1</v>
      </c>
      <c r="AF58" s="6">
        <f>IF(AC58="","",RANK(AD58,AD$4:AD$100,1))</f>
        <v>11</v>
      </c>
      <c r="AG58" s="2">
        <f ca="1">IF(ISNA(VLOOKUP($B58,INDIRECT("'"&amp;AG$2&amp;"'!$B$3:$E$72"),4,FALSE)),"",VLOOKUP($B58,INDIRECT("'"&amp;AG$2&amp;"'!$B$3:$E$72"),4,FALSE))</f>
        <v>17</v>
      </c>
      <c r="AH58" s="2">
        <f>IF(AG58="","",AG58+AD58)</f>
        <v>120</v>
      </c>
      <c r="AI58" s="2">
        <f ca="1">IF(AH58="","",RANK(AH58,INDIRECT("AH"&amp;VLOOKUP($A58,$BA$1:$BC$3,2,FALSE)&amp;":AH"&amp;VLOOKUP($A58,$BA$1:$BC$3,3,FALSE)),1))</f>
        <v>1</v>
      </c>
      <c r="AJ58" s="6">
        <f>IF(AG58="","",RANK(AH58,AH$4:AH$100,1))</f>
        <v>11</v>
      </c>
      <c r="AK58" s="2">
        <f ca="1">IF(ISNA(VLOOKUP($B58,INDIRECT("'"&amp;AK$2&amp;"'!$B$3:$E$72"),4,FALSE)),"",VLOOKUP($B58,INDIRECT("'"&amp;AK$2&amp;"'!$B$3:$E$72"),4,FALSE))</f>
        <v>7</v>
      </c>
      <c r="AL58" s="2">
        <f>IF(AK58="","",AK58+AH58)</f>
        <v>127</v>
      </c>
      <c r="AM58" s="2">
        <f ca="1">IF(AL58="","",RANK(AL58,INDIRECT("AL"&amp;VLOOKUP($A58,$BA$1:$BC$3,2,FALSE)&amp;":AL"&amp;VLOOKUP($A58,$BA$1:$BC$3,3,FALSE)),1))</f>
        <v>1</v>
      </c>
      <c r="AN58" s="6">
        <f>IF(AK58="","",RANK(AL58,AL$4:AL$100,1))</f>
        <v>11</v>
      </c>
      <c r="AO58" s="2">
        <f ca="1">IF(ISNA(VLOOKUP($B58,INDIRECT("'"&amp;AO$2&amp;"'!$B$3:$E$72"),4,FALSE)),"",VLOOKUP($B58,INDIRECT("'"&amp;AO$2&amp;"'!$B$3:$E$72"),4,FALSE))</f>
        <v>8</v>
      </c>
      <c r="AP58" s="2">
        <f>IF(AO58="","",AO58+AL58)</f>
        <v>135</v>
      </c>
      <c r="AQ58" s="2">
        <f ca="1">IF(AP58="","",RANK(AP58,INDIRECT("AP"&amp;VLOOKUP($A58,$BA$1:$BC$3,2,FALSE)&amp;":AP"&amp;VLOOKUP($A58,$BA$1:$BC$3,3,FALSE)),1))</f>
        <v>1</v>
      </c>
      <c r="AR58" s="6">
        <f>IF(AO58="","",RANK(AP58,AP$4:AP$100,1))</f>
        <v>10</v>
      </c>
      <c r="AS58" s="52"/>
      <c r="AT58" s="2">
        <f>SUM(G58,I58,M58,Q58,U58,Y58,AC58,AG58,AK58,AO58)</f>
        <v>135</v>
      </c>
      <c r="AU58" s="2">
        <f ca="1">RANK(AT58,INDIRECT("AT"&amp;VLOOKUP($A58,$BA$1:$BC$3,2,FALSE)&amp;":AT"&amp;VLOOKUP($A58,$BA$1:$BC$3,3,FALSE)),1)</f>
        <v>1</v>
      </c>
      <c r="AV58" s="6">
        <f>RANK(AT58,$AT$4:$AT$100,1)</f>
        <v>10</v>
      </c>
      <c r="AW58" s="2">
        <f>MIN(G58,I58,M58,Q58,U58,Y58,AC58,AG58,AK58,AO58)</f>
        <v>6</v>
      </c>
      <c r="AX58" s="2">
        <f>MAX(G58,I58,M58,Q58,U58,Y58,AC58,AG58,AK58,AO58)</f>
        <v>21</v>
      </c>
      <c r="AY58" s="6">
        <f>MEDIAN(G58,I58,M58,Q58,U58,Y58,AC58,AG58,AK58,AO58)</f>
        <v>14</v>
      </c>
    </row>
    <row r="59" spans="1:51" ht="15.75">
      <c r="A59" s="14" t="s">
        <v>2</v>
      </c>
      <c r="B59" s="60">
        <v>53</v>
      </c>
      <c r="C59" s="57" t="str">
        <f>IF(ISBLANK(B59),"",VLOOKUP(B59,Entries!$A$4:$C$65,3,FALSE))</f>
        <v>Springfield Striders Vets</v>
      </c>
      <c r="D59" s="2">
        <f>IF(AT59=0,"",AT59)</f>
        <v>180</v>
      </c>
      <c r="E59" s="5">
        <f ca="1">IF(OR(ISBLANK(D59),D59=0,D59=""),"",RANK(D59,INDIRECT("D"&amp;VLOOKUP($A59,$BA$1:$BC$3,2,FALSE)&amp;":D"&amp;VLOOKUP($A59,$BA$1:$BC$3,3,FALSE)),1))</f>
        <v>2</v>
      </c>
      <c r="F59" s="5">
        <f>IF(OR(ISBLANK(D59),D59=0,D59=""),"",RANK(D59,$D$4:$D$100,1))</f>
        <v>13</v>
      </c>
      <c r="G59" s="2">
        <f ca="1">IF(ISNA(VLOOKUP($B59,INDIRECT("'"&amp;G$2&amp;"'!$B$3:$E$72"),4,FALSE)),"",VLOOKUP($B59,INDIRECT("'"&amp;G$2&amp;"'!$B$3:$E$72"),4,FALSE))</f>
        <v>7</v>
      </c>
      <c r="H59" s="6">
        <f ca="1">IF(G59="","",RANK(G59,INDIRECT("G"&amp;VLOOKUP($A59,$BA$1:$BC$3,2,FALSE)&amp;":G"&amp;VLOOKUP($A59,$BA$1:$BC$3,3,FALSE)),1))</f>
        <v>1</v>
      </c>
      <c r="I59" s="2">
        <f ca="1">IF(ISNA(VLOOKUP($B59,INDIRECT("'"&amp;I$2&amp;"'!$B$3:$E$72"),4,FALSE)),"",VLOOKUP($B59,INDIRECT("'"&amp;I$2&amp;"'!$B$3:$E$72"),4,FALSE))</f>
        <v>16</v>
      </c>
      <c r="J59" s="5">
        <f>IF(I59="","",G59+I59)</f>
        <v>23</v>
      </c>
      <c r="K59" s="5">
        <f ca="1">IF(J59="","",RANK(J59,INDIRECT("J"&amp;VLOOKUP($A59,$BA$1:$BC$3,2,FALSE)&amp;":J"&amp;VLOOKUP($A59,$BA$1:$BC$3,3,FALSE)),1))</f>
        <v>1</v>
      </c>
      <c r="L59" s="6">
        <f>IF(I59="","",RANK(J59,J$4:J$100,1))</f>
        <v>9</v>
      </c>
      <c r="M59" s="2">
        <f ca="1">IF(ISNA(VLOOKUP($B59,INDIRECT("'"&amp;M$2&amp;"'!$B$3:$E$72"),4,FALSE)),"",VLOOKUP($B59,INDIRECT("'"&amp;M$2&amp;"'!$B$3:$E$72"),4,FALSE))</f>
        <v>24</v>
      </c>
      <c r="N59" s="5">
        <f>IF(M59="","",M59+J59)</f>
        <v>47</v>
      </c>
      <c r="O59" s="5">
        <f ca="1">IF(N59="","",RANK(N59,INDIRECT("N"&amp;VLOOKUP($A59,$BA$1:$BC$3,2,FALSE)&amp;":N"&amp;VLOOKUP($A59,$BA$1:$BC$3,3,FALSE)),1))</f>
        <v>1</v>
      </c>
      <c r="P59" s="6">
        <f>IF(M59="","",RANK(N59,N$4:N$100,1))</f>
        <v>13</v>
      </c>
      <c r="Q59" s="2">
        <f ca="1">IF(ISNA(VLOOKUP($B59,INDIRECT("'"&amp;Q$2&amp;"'!$B$3:$E$72"),4,FALSE)),"",VLOOKUP($B59,INDIRECT("'"&amp;Q$2&amp;"'!$B$3:$E$72"),4,FALSE))</f>
        <v>25</v>
      </c>
      <c r="R59" s="5">
        <f>IF(Q59="","",Q59+N59)</f>
        <v>72</v>
      </c>
      <c r="S59" s="5">
        <f ca="1">IF(R59="","",RANK(R59,INDIRECT("R"&amp;VLOOKUP($A59,$BA$1:$BC$3,2,FALSE)&amp;":R"&amp;VLOOKUP($A59,$BA$1:$BC$3,3,FALSE)),1))</f>
        <v>2</v>
      </c>
      <c r="T59" s="6">
        <f>IF(Q59="","",RANK(R59,R$4:R$100,1))</f>
        <v>15</v>
      </c>
      <c r="U59" s="2">
        <f ca="1">IF(ISNA(VLOOKUP($B59,INDIRECT("'"&amp;U$2&amp;"'!$B$3:$E$72"),4,FALSE)),"",VLOOKUP($B59,INDIRECT("'"&amp;U$2&amp;"'!$B$3:$E$72"),4,FALSE))</f>
        <v>21</v>
      </c>
      <c r="V59" s="5">
        <f>IF(U59="","",U59+R59)</f>
        <v>93</v>
      </c>
      <c r="W59" s="5">
        <f ca="1">IF(V59="","",RANK(V59,INDIRECT("V"&amp;VLOOKUP($A59,$BA$1:$BC$3,2,FALSE)&amp;":V"&amp;VLOOKUP($A59,$BA$1:$BC$3,3,FALSE)),1))</f>
        <v>2</v>
      </c>
      <c r="X59" s="6">
        <f>IF(U59="","",RANK(V59,V$4:V$100,1))</f>
        <v>15</v>
      </c>
      <c r="Y59" s="2">
        <f ca="1">IF(ISNA(VLOOKUP($B59,INDIRECT("'"&amp;Y$2&amp;"'!$B$3:$E$72"),4,FALSE)),"",VLOOKUP($B59,INDIRECT("'"&amp;Y$2&amp;"'!$B$3:$E$72"),4,FALSE))</f>
        <v>19</v>
      </c>
      <c r="Z59" s="5">
        <f>IF(Y59="","",Y59+V59)</f>
        <v>112</v>
      </c>
      <c r="AA59" s="5">
        <f ca="1">IF(Z59="","",RANK(Z59,INDIRECT("Z"&amp;VLOOKUP($A59,$BA$1:$BC$3,2,FALSE)&amp;":Z"&amp;VLOOKUP($A59,$BA$1:$BC$3,3,FALSE)),1))</f>
        <v>2</v>
      </c>
      <c r="AB59" s="6">
        <f>IF(Y59="","",RANK(Z59,Z$4:Z$100,1))</f>
        <v>15</v>
      </c>
      <c r="AC59" s="2">
        <f ca="1">IF(ISNA(VLOOKUP($B59,INDIRECT("'"&amp;AC$2&amp;"'!$B$3:$E$72"),4,FALSE)),"",VLOOKUP($B59,INDIRECT("'"&amp;AC$2&amp;"'!$B$3:$E$72"),4,FALSE))</f>
        <v>8</v>
      </c>
      <c r="AD59" s="5">
        <f>IF(AC59="","",AC59+Z59)</f>
        <v>120</v>
      </c>
      <c r="AE59" s="5">
        <f ca="1">IF(AD59="","",RANK(AD59,INDIRECT("AD"&amp;VLOOKUP($A59,$BA$1:$BC$3,2,FALSE)&amp;":AD"&amp;VLOOKUP($A59,$BA$1:$BC$3,3,FALSE)),1))</f>
        <v>2</v>
      </c>
      <c r="AF59" s="6">
        <f>IF(AC59="","",RANK(AD59,AD$4:AD$100,1))</f>
        <v>14</v>
      </c>
      <c r="AG59" s="2">
        <f ca="1">IF(ISNA(VLOOKUP($B59,INDIRECT("'"&amp;AG$2&amp;"'!$B$3:$E$72"),4,FALSE)),"",VLOOKUP($B59,INDIRECT("'"&amp;AG$2&amp;"'!$B$3:$E$72"),4,FALSE))</f>
        <v>25</v>
      </c>
      <c r="AH59" s="5">
        <f>IF(AG59="","",AG59+AD59)</f>
        <v>145</v>
      </c>
      <c r="AI59" s="5">
        <f ca="1">IF(AH59="","",RANK(AH59,INDIRECT("AH"&amp;VLOOKUP($A59,$BA$1:$BC$3,2,FALSE)&amp;":AH"&amp;VLOOKUP($A59,$BA$1:$BC$3,3,FALSE)),1))</f>
        <v>2</v>
      </c>
      <c r="AJ59" s="6">
        <f>IF(AG59="","",RANK(AH59,AH$4:AH$100,1))</f>
        <v>15</v>
      </c>
      <c r="AK59" s="2">
        <f ca="1">IF(ISNA(VLOOKUP($B59,INDIRECT("'"&amp;AK$2&amp;"'!$B$3:$E$72"),4,FALSE)),"",VLOOKUP($B59,INDIRECT("'"&amp;AK$2&amp;"'!$B$3:$E$72"),4,FALSE))</f>
        <v>13</v>
      </c>
      <c r="AL59" s="5">
        <f>IF(AK59="","",AK59+AH59)</f>
        <v>158</v>
      </c>
      <c r="AM59" s="5">
        <f ca="1">IF(AL59="","",RANK(AL59,INDIRECT("AL"&amp;VLOOKUP($A59,$BA$1:$BC$3,2,FALSE)&amp;":AL"&amp;VLOOKUP($A59,$BA$1:$BC$3,3,FALSE)),1))</f>
        <v>2</v>
      </c>
      <c r="AN59" s="6">
        <f>IF(AK59="","",RANK(AL59,AL$4:AL$100,1))</f>
        <v>14</v>
      </c>
      <c r="AO59" s="2">
        <f ca="1">IF(ISNA(VLOOKUP($B59,INDIRECT("'"&amp;AO$2&amp;"'!$B$3:$E$72"),4,FALSE)),"",VLOOKUP($B59,INDIRECT("'"&amp;AO$2&amp;"'!$B$3:$E$72"),4,FALSE))</f>
        <v>22</v>
      </c>
      <c r="AP59" s="5">
        <f>IF(AO59="","",AO59+AL59)</f>
        <v>180</v>
      </c>
      <c r="AQ59" s="5">
        <f ca="1">IF(AP59="","",RANK(AP59,INDIRECT("AP"&amp;VLOOKUP($A59,$BA$1:$BC$3,2,FALSE)&amp;":AP"&amp;VLOOKUP($A59,$BA$1:$BC$3,3,FALSE)),1))</f>
        <v>2</v>
      </c>
      <c r="AR59" s="6">
        <f>IF(AO59="","",RANK(AP59,AP$4:AP$100,1))</f>
        <v>13</v>
      </c>
      <c r="AS59" s="52"/>
      <c r="AT59" s="2">
        <f>SUM(G59,I59,M59,Q59,U59,Y59,AC59,AG59,AK59,AO59)</f>
        <v>180</v>
      </c>
      <c r="AU59" s="5">
        <f ca="1">RANK(AT59,INDIRECT("AT"&amp;VLOOKUP($A59,$BA$1:$BC$3,2,FALSE)&amp;":AT"&amp;VLOOKUP($A59,$BA$1:$BC$3,3,FALSE)),1)</f>
        <v>2</v>
      </c>
      <c r="AV59" s="6">
        <f>RANK(AT59,$AT$4:$AT$100,1)</f>
        <v>13</v>
      </c>
      <c r="AW59" s="2">
        <f>MIN(G59,I59,M59,Q59,U59,Y59,AC59,AG59,AK59,AO59)</f>
        <v>7</v>
      </c>
      <c r="AX59" s="5">
        <f>MAX(G59,I59,M59,Q59,U59,Y59,AC59,AG59,AK59,AO59)</f>
        <v>25</v>
      </c>
      <c r="AY59" s="6">
        <f>MEDIAN(G59,I59,M59,Q59,U59,Y59,AC59,AG59,AK59,AO59)</f>
        <v>20</v>
      </c>
    </row>
    <row r="60" spans="1:51" ht="15.75">
      <c r="A60" s="14" t="s">
        <v>2</v>
      </c>
      <c r="B60" s="60">
        <v>12</v>
      </c>
      <c r="C60" s="57" t="str">
        <f>IF(ISBLANK(B60),"",VLOOKUP(B60,Entries!$A$4:$C$65,3,FALSE))</f>
        <v>Mid Essex Casuals A</v>
      </c>
      <c r="D60" s="2">
        <f>IF(AT60=0,"",AT60)</f>
        <v>309</v>
      </c>
      <c r="E60" s="2">
        <f ca="1">IF(OR(ISBLANK(D60),D60=0,D60=""),"",RANK(D60,INDIRECT("D"&amp;VLOOKUP($A60,$BA$1:$BC$3,2,FALSE)&amp;":D"&amp;VLOOKUP($A60,$BA$1:$BC$3,3,FALSE)),1))</f>
        <v>3</v>
      </c>
      <c r="F60" s="2">
        <f>IF(OR(ISBLANK(D60),D60=0,D60=""),"",RANK(D60,$D$4:$D$100,1))</f>
        <v>25</v>
      </c>
      <c r="G60" s="2">
        <f ca="1">IF(ISNA(VLOOKUP($B60,INDIRECT("'"&amp;G$2&amp;"'!$B$3:$E$72"),4,FALSE)),"",VLOOKUP($B60,INDIRECT("'"&amp;G$2&amp;"'!$B$3:$E$72"),4,FALSE))</f>
        <v>39</v>
      </c>
      <c r="H60" s="6">
        <f ca="1">IF(G60="","",RANK(G60,INDIRECT("G"&amp;VLOOKUP($A60,$BA$1:$BC$3,2,FALSE)&amp;":G"&amp;VLOOKUP($A60,$BA$1:$BC$3,3,FALSE)),1))</f>
        <v>5</v>
      </c>
      <c r="I60" s="2">
        <f ca="1">IF(ISNA(VLOOKUP($B60,INDIRECT("'"&amp;I$2&amp;"'!$B$3:$E$72"),4,FALSE)),"",VLOOKUP($B60,INDIRECT("'"&amp;I$2&amp;"'!$B$3:$E$72"),4,FALSE))</f>
        <v>25</v>
      </c>
      <c r="J60" s="2">
        <f>IF(I60="","",G60+I60)</f>
        <v>64</v>
      </c>
      <c r="K60" s="2">
        <f ca="1">IF(J60="","",RANK(J60,INDIRECT("J"&amp;VLOOKUP($A60,$BA$1:$BC$3,2,FALSE)&amp;":J"&amp;VLOOKUP($A60,$BA$1:$BC$3,3,FALSE)),1))</f>
        <v>4</v>
      </c>
      <c r="L60" s="6">
        <f>IF(I60="","",RANK(J60,J$4:J$100,1))</f>
        <v>32</v>
      </c>
      <c r="M60" s="2">
        <f ca="1">IF(ISNA(VLOOKUP($B60,INDIRECT("'"&amp;M$2&amp;"'!$B$3:$E$72"),4,FALSE)),"",VLOOKUP($B60,INDIRECT("'"&amp;M$2&amp;"'!$B$3:$E$72"),4,FALSE))</f>
        <v>35</v>
      </c>
      <c r="N60" s="2">
        <f>IF(M60="","",M60+J60)</f>
        <v>99</v>
      </c>
      <c r="O60" s="2">
        <f ca="1">IF(N60="","",RANK(N60,INDIRECT("N"&amp;VLOOKUP($A60,$BA$1:$BC$3,2,FALSE)&amp;":N"&amp;VLOOKUP($A60,$BA$1:$BC$3,3,FALSE)),1))</f>
        <v>4</v>
      </c>
      <c r="P60" s="6">
        <f>IF(M60="","",RANK(N60,N$4:N$100,1))</f>
        <v>29</v>
      </c>
      <c r="Q60" s="2">
        <f ca="1">IF(ISNA(VLOOKUP($B60,INDIRECT("'"&amp;Q$2&amp;"'!$B$3:$E$72"),4,FALSE)),"",VLOOKUP($B60,INDIRECT("'"&amp;Q$2&amp;"'!$B$3:$E$72"),4,FALSE))</f>
        <v>35</v>
      </c>
      <c r="R60" s="2">
        <f>IF(Q60="","",Q60+N60)</f>
        <v>134</v>
      </c>
      <c r="S60" s="2">
        <f ca="1">IF(R60="","",RANK(R60,INDIRECT("R"&amp;VLOOKUP($A60,$BA$1:$BC$3,2,FALSE)&amp;":R"&amp;VLOOKUP($A60,$BA$1:$BC$3,3,FALSE)),1))</f>
        <v>3</v>
      </c>
      <c r="T60" s="6">
        <f>IF(Q60="","",RANK(R60,R$4:R$100,1))</f>
        <v>31</v>
      </c>
      <c r="U60" s="2">
        <f ca="1">IF(ISNA(VLOOKUP($B60,INDIRECT("'"&amp;U$2&amp;"'!$B$3:$E$72"),4,FALSE)),"",VLOOKUP($B60,INDIRECT("'"&amp;U$2&amp;"'!$B$3:$E$72"),4,FALSE))</f>
        <v>46</v>
      </c>
      <c r="V60" s="2">
        <f>IF(U60="","",U60+R60)</f>
        <v>180</v>
      </c>
      <c r="W60" s="2">
        <f ca="1">IF(V60="","",RANK(V60,INDIRECT("V"&amp;VLOOKUP($A60,$BA$1:$BC$3,2,FALSE)&amp;":V"&amp;VLOOKUP($A60,$BA$1:$BC$3,3,FALSE)),1))</f>
        <v>4</v>
      </c>
      <c r="X60" s="6">
        <f>IF(U60="","",RANK(V60,V$4:V$100,1))</f>
        <v>35</v>
      </c>
      <c r="Y60" s="2">
        <f ca="1">IF(ISNA(VLOOKUP($B60,INDIRECT("'"&amp;Y$2&amp;"'!$B$3:$E$72"),4,FALSE)),"",VLOOKUP($B60,INDIRECT("'"&amp;Y$2&amp;"'!$B$3:$E$72"),4,FALSE))</f>
        <v>7</v>
      </c>
      <c r="Z60" s="2">
        <f>IF(Y60="","",Y60+V60)</f>
        <v>187</v>
      </c>
      <c r="AA60" s="2">
        <f ca="1">IF(Z60="","",RANK(Z60,INDIRECT("Z"&amp;VLOOKUP($A60,$BA$1:$BC$3,2,FALSE)&amp;":Z"&amp;VLOOKUP($A60,$BA$1:$BC$3,3,FALSE)),1))</f>
        <v>4</v>
      </c>
      <c r="AB60" s="6">
        <f>IF(Y60="","",RANK(Z60,Z$4:Z$100,1))</f>
        <v>27</v>
      </c>
      <c r="AC60" s="2">
        <f ca="1">IF(ISNA(VLOOKUP($B60,INDIRECT("'"&amp;AC$2&amp;"'!$B$3:$E$72"),4,FALSE)),"",VLOOKUP($B60,INDIRECT("'"&amp;AC$2&amp;"'!$B$3:$E$72"),4,FALSE))</f>
        <v>44</v>
      </c>
      <c r="AD60" s="2">
        <f>IF(AC60="","",AC60+Z60)</f>
        <v>231</v>
      </c>
      <c r="AE60" s="2">
        <f ca="1">IF(AD60="","",RANK(AD60,INDIRECT("AD"&amp;VLOOKUP($A60,$BA$1:$BC$3,2,FALSE)&amp;":AD"&amp;VLOOKUP($A60,$BA$1:$BC$3,3,FALSE)),1))</f>
        <v>4</v>
      </c>
      <c r="AF60" s="6">
        <f>IF(AC60="","",RANK(AD60,AD$4:AD$100,1))</f>
        <v>29</v>
      </c>
      <c r="AG60" s="2">
        <f ca="1">IF(ISNA(VLOOKUP($B60,INDIRECT("'"&amp;AG$2&amp;"'!$B$3:$E$72"),4,FALSE)),"",VLOOKUP($B60,INDIRECT("'"&amp;AG$2&amp;"'!$B$3:$E$72"),4,FALSE))</f>
        <v>13</v>
      </c>
      <c r="AH60" s="2">
        <f>IF(AG60="","",AG60+AD60)</f>
        <v>244</v>
      </c>
      <c r="AI60" s="2">
        <f ca="1">IF(AH60="","",RANK(AH60,INDIRECT("AH"&amp;VLOOKUP($A60,$BA$1:$BC$3,2,FALSE)&amp;":AH"&amp;VLOOKUP($A60,$BA$1:$BC$3,3,FALSE)),1))</f>
        <v>4</v>
      </c>
      <c r="AJ60" s="6">
        <f>IF(AG60="","",RANK(AH60,AH$4:AH$100,1))</f>
        <v>27</v>
      </c>
      <c r="AK60" s="2">
        <f ca="1">IF(ISNA(VLOOKUP($B60,INDIRECT("'"&amp;AK$2&amp;"'!$B$3:$E$72"),4,FALSE)),"",VLOOKUP($B60,INDIRECT("'"&amp;AK$2&amp;"'!$B$3:$E$72"),4,FALSE))</f>
        <v>40</v>
      </c>
      <c r="AL60" s="2">
        <f>IF(AK60="","",AK60+AH60)</f>
        <v>284</v>
      </c>
      <c r="AM60" s="2">
        <f ca="1">IF(AL60="","",RANK(AL60,INDIRECT("AL"&amp;VLOOKUP($A60,$BA$1:$BC$3,2,FALSE)&amp;":AL"&amp;VLOOKUP($A60,$BA$1:$BC$3,3,FALSE)),1))</f>
        <v>4</v>
      </c>
      <c r="AN60" s="6">
        <f>IF(AK60="","",RANK(AL60,AL$4:AL$100,1))</f>
        <v>30</v>
      </c>
      <c r="AO60" s="2">
        <f ca="1">IF(ISNA(VLOOKUP($B60,INDIRECT("'"&amp;AO$2&amp;"'!$B$3:$E$72"),4,FALSE)),"",VLOOKUP($B60,INDIRECT("'"&amp;AO$2&amp;"'!$B$3:$E$72"),4,FALSE))</f>
        <v>25</v>
      </c>
      <c r="AP60" s="2">
        <f>IF(AO60="","",AO60+AL60)</f>
        <v>309</v>
      </c>
      <c r="AQ60" s="2">
        <f ca="1">IF(AP60="","",RANK(AP60,INDIRECT("AP"&amp;VLOOKUP($A60,$BA$1:$BC$3,2,FALSE)&amp;":AP"&amp;VLOOKUP($A60,$BA$1:$BC$3,3,FALSE)),1))</f>
        <v>3</v>
      </c>
      <c r="AR60" s="6">
        <f>IF(AO60="","",RANK(AP60,AP$4:AP$100,1))</f>
        <v>25</v>
      </c>
      <c r="AS60" s="52"/>
      <c r="AT60" s="2">
        <f>SUM(G60,I60,M60,Q60,U60,Y60,AC60,AG60,AK60,AO60)</f>
        <v>309</v>
      </c>
      <c r="AU60" s="2">
        <f ca="1">RANK(AT60,INDIRECT("AT"&amp;VLOOKUP($A60,$BA$1:$BC$3,2,FALSE)&amp;":AT"&amp;VLOOKUP($A60,$BA$1:$BC$3,3,FALSE)),1)</f>
        <v>3</v>
      </c>
      <c r="AV60" s="6">
        <f>RANK(AT60,$AT$4:$AT$100,1)</f>
        <v>25</v>
      </c>
      <c r="AW60" s="2">
        <f>MIN(G60,I60,M60,Q60,U60,Y60,AC60,AG60,AK60,AO60)</f>
        <v>7</v>
      </c>
      <c r="AX60" s="2">
        <f>MAX(G60,I60,M60,Q60,U60,Y60,AC60,AG60,AK60,AO60)</f>
        <v>46</v>
      </c>
      <c r="AY60" s="6">
        <f>MEDIAN(G60,I60,M60,Q60,U60,Y60,AC60,AG60,AK60,AO60)</f>
        <v>35</v>
      </c>
    </row>
    <row r="61" spans="1:51" ht="15.75">
      <c r="A61" s="14" t="s">
        <v>2</v>
      </c>
      <c r="B61" s="60">
        <v>51</v>
      </c>
      <c r="C61" s="57" t="str">
        <f>IF(ISBLANK(B61),"",VLOOKUP(B61,Entries!$A$4:$C$65,3,FALSE))</f>
        <v>Ilford Vets</v>
      </c>
      <c r="D61" s="2">
        <f>IF(AT61=0,"",AT61)</f>
        <v>326</v>
      </c>
      <c r="E61" s="2">
        <f ca="1">IF(OR(ISBLANK(D61),D61=0,D61=""),"",RANK(D61,INDIRECT("D"&amp;VLOOKUP($A61,$BA$1:$BC$3,2,FALSE)&amp;":D"&amp;VLOOKUP($A61,$BA$1:$BC$3,3,FALSE)),1))</f>
        <v>4</v>
      </c>
      <c r="F61" s="2">
        <f>IF(OR(ISBLANK(D61),D61=0,D61=""),"",RANK(D61,$D$4:$D$100,1))</f>
        <v>29</v>
      </c>
      <c r="G61" s="2">
        <f ca="1">IF(ISNA(VLOOKUP($B61,INDIRECT("'"&amp;G$2&amp;"'!$B$3:$E$72"),4,FALSE)),"",VLOOKUP($B61,INDIRECT("'"&amp;G$2&amp;"'!$B$3:$E$72"),4,FALSE))</f>
        <v>23</v>
      </c>
      <c r="H61" s="6">
        <f ca="1">IF(G61="","",RANK(G61,INDIRECT("G"&amp;VLOOKUP($A61,$BA$1:$BC$3,2,FALSE)&amp;":G"&amp;VLOOKUP($A61,$BA$1:$BC$3,3,FALSE)),1))</f>
        <v>3</v>
      </c>
      <c r="I61" s="2">
        <f ca="1">IF(ISNA(VLOOKUP($B61,INDIRECT("'"&amp;I$2&amp;"'!$B$3:$E$72"),4,FALSE)),"",VLOOKUP($B61,INDIRECT("'"&amp;I$2&amp;"'!$B$3:$E$72"),4,FALSE))</f>
        <v>36</v>
      </c>
      <c r="J61" s="2">
        <f>IF(I61="","",G61+I61)</f>
        <v>59</v>
      </c>
      <c r="K61" s="2">
        <f ca="1">IF(J61="","",RANK(J61,INDIRECT("J"&amp;VLOOKUP($A61,$BA$1:$BC$3,2,FALSE)&amp;":J"&amp;VLOOKUP($A61,$BA$1:$BC$3,3,FALSE)),1))</f>
        <v>3</v>
      </c>
      <c r="L61" s="6">
        <f>IF(I61="","",RANK(J61,J$4:J$100,1))</f>
        <v>27</v>
      </c>
      <c r="M61" s="2">
        <f ca="1">IF(ISNA(VLOOKUP($B61,INDIRECT("'"&amp;M$2&amp;"'!$B$3:$E$72"),4,FALSE)),"",VLOOKUP($B61,INDIRECT("'"&amp;M$2&amp;"'!$B$3:$E$72"),4,FALSE))</f>
        <v>29</v>
      </c>
      <c r="N61" s="2">
        <f>IF(M61="","",M61+J61)</f>
        <v>88</v>
      </c>
      <c r="O61" s="2">
        <f ca="1">IF(N61="","",RANK(N61,INDIRECT("N"&amp;VLOOKUP($A61,$BA$1:$BC$3,2,FALSE)&amp;":N"&amp;VLOOKUP($A61,$BA$1:$BC$3,3,FALSE)),1))</f>
        <v>3</v>
      </c>
      <c r="P61" s="6">
        <f>IF(M61="","",RANK(N61,N$4:N$100,1))</f>
        <v>27</v>
      </c>
      <c r="Q61" s="2">
        <f ca="1">IF(ISNA(VLOOKUP($B61,INDIRECT("'"&amp;Q$2&amp;"'!$B$3:$E$72"),4,FALSE)),"",VLOOKUP($B61,INDIRECT("'"&amp;Q$2&amp;"'!$B$3:$E$72"),4,FALSE))</f>
        <v>52</v>
      </c>
      <c r="R61" s="2">
        <f>IF(Q61="","",Q61+N61)</f>
        <v>140</v>
      </c>
      <c r="S61" s="2">
        <f ca="1">IF(R61="","",RANK(R61,INDIRECT("R"&amp;VLOOKUP($A61,$BA$1:$BC$3,2,FALSE)&amp;":R"&amp;VLOOKUP($A61,$BA$1:$BC$3,3,FALSE)),1))</f>
        <v>4</v>
      </c>
      <c r="T61" s="6">
        <f>IF(Q61="","",RANK(R61,R$4:R$100,1))</f>
        <v>33</v>
      </c>
      <c r="U61" s="2">
        <f ca="1">IF(ISNA(VLOOKUP($B61,INDIRECT("'"&amp;U$2&amp;"'!$B$3:$E$72"),4,FALSE)),"",VLOOKUP($B61,INDIRECT("'"&amp;U$2&amp;"'!$B$3:$E$72"),4,FALSE))</f>
        <v>9</v>
      </c>
      <c r="V61" s="2">
        <f>IF(U61="","",U61+R61)</f>
        <v>149</v>
      </c>
      <c r="W61" s="2">
        <f ca="1">IF(V61="","",RANK(V61,INDIRECT("V"&amp;VLOOKUP($A61,$BA$1:$BC$3,2,FALSE)&amp;":V"&amp;VLOOKUP($A61,$BA$1:$BC$3,3,FALSE)),1))</f>
        <v>3</v>
      </c>
      <c r="X61" s="6">
        <f>IF(U61="","",RANK(V61,V$4:V$100,1))</f>
        <v>26</v>
      </c>
      <c r="Y61" s="2">
        <f ca="1">IF(ISNA(VLOOKUP($B61,INDIRECT("'"&amp;Y$2&amp;"'!$B$3:$E$72"),4,FALSE)),"",VLOOKUP($B61,INDIRECT("'"&amp;Y$2&amp;"'!$B$3:$E$72"),4,FALSE))</f>
        <v>35</v>
      </c>
      <c r="Z61" s="2">
        <f>IF(Y61="","",Y61+V61)</f>
        <v>184</v>
      </c>
      <c r="AA61" s="2">
        <f ca="1">IF(Z61="","",RANK(Z61,INDIRECT("Z"&amp;VLOOKUP($A61,$BA$1:$BC$3,2,FALSE)&amp;":Z"&amp;VLOOKUP($A61,$BA$1:$BC$3,3,FALSE)),1))</f>
        <v>3</v>
      </c>
      <c r="AB61" s="6">
        <f>IF(Y61="","",RANK(Z61,Z$4:Z$100,1))</f>
        <v>26</v>
      </c>
      <c r="AC61" s="2">
        <f ca="1">IF(ISNA(VLOOKUP($B61,INDIRECT("'"&amp;AC$2&amp;"'!$B$3:$E$72"),4,FALSE)),"",VLOOKUP($B61,INDIRECT("'"&amp;AC$2&amp;"'!$B$3:$E$72"),4,FALSE))</f>
        <v>14</v>
      </c>
      <c r="AD61" s="2">
        <f>IF(AC61="","",AC61+Z61)</f>
        <v>198</v>
      </c>
      <c r="AE61" s="2">
        <f ca="1">IF(AD61="","",RANK(AD61,INDIRECT("AD"&amp;VLOOKUP($A61,$BA$1:$BC$3,2,FALSE)&amp;":AD"&amp;VLOOKUP($A61,$BA$1:$BC$3,3,FALSE)),1))</f>
        <v>3</v>
      </c>
      <c r="AF61" s="6">
        <f>IF(AC61="","",RANK(AD61,AD$4:AD$100,1))</f>
        <v>22</v>
      </c>
      <c r="AG61" s="2">
        <f ca="1">IF(ISNA(VLOOKUP($B61,INDIRECT("'"&amp;AG$2&amp;"'!$B$3:$E$72"),4,FALSE)),"",VLOOKUP($B61,INDIRECT("'"&amp;AG$2&amp;"'!$B$3:$E$72"),4,FALSE))</f>
        <v>26</v>
      </c>
      <c r="AH61" s="2">
        <f>IF(AG61="","",AG61+AD61)</f>
        <v>224</v>
      </c>
      <c r="AI61" s="2">
        <f ca="1">IF(AH61="","",RANK(AH61,INDIRECT("AH"&amp;VLOOKUP($A61,$BA$1:$BC$3,2,FALSE)&amp;":AH"&amp;VLOOKUP($A61,$BA$1:$BC$3,3,FALSE)),1))</f>
        <v>3</v>
      </c>
      <c r="AJ61" s="6">
        <f>IF(AG61="","",RANK(AH61,AH$4:AH$100,1))</f>
        <v>22</v>
      </c>
      <c r="AK61" s="2">
        <f ca="1">IF(ISNA(VLOOKUP($B61,INDIRECT("'"&amp;AK$2&amp;"'!$B$3:$E$72"),4,FALSE)),"",VLOOKUP($B61,INDIRECT("'"&amp;AK$2&amp;"'!$B$3:$E$72"),4,FALSE))</f>
        <v>54</v>
      </c>
      <c r="AL61" s="2">
        <f>IF(AK61="","",AK61+AH61)</f>
        <v>278</v>
      </c>
      <c r="AM61" s="2">
        <f ca="1">IF(AL61="","",RANK(AL61,INDIRECT("AL"&amp;VLOOKUP($A61,$BA$1:$BC$3,2,FALSE)&amp;":AL"&amp;VLOOKUP($A61,$BA$1:$BC$3,3,FALSE)),1))</f>
        <v>3</v>
      </c>
      <c r="AN61" s="6">
        <f>IF(AK61="","",RANK(AL61,AL$4:AL$100,1))</f>
        <v>26</v>
      </c>
      <c r="AO61" s="2">
        <f ca="1">IF(ISNA(VLOOKUP($B61,INDIRECT("'"&amp;AO$2&amp;"'!$B$3:$E$72"),4,FALSE)),"",VLOOKUP($B61,INDIRECT("'"&amp;AO$2&amp;"'!$B$3:$E$72"),4,FALSE))</f>
        <v>48</v>
      </c>
      <c r="AP61" s="2">
        <f>IF(AO61="","",AO61+AL61)</f>
        <v>326</v>
      </c>
      <c r="AQ61" s="2">
        <f ca="1">IF(AP61="","",RANK(AP61,INDIRECT("AP"&amp;VLOOKUP($A61,$BA$1:$BC$3,2,FALSE)&amp;":AP"&amp;VLOOKUP($A61,$BA$1:$BC$3,3,FALSE)),1))</f>
        <v>4</v>
      </c>
      <c r="AR61" s="6">
        <f>IF(AO61="","",RANK(AP61,AP$4:AP$100,1))</f>
        <v>29</v>
      </c>
      <c r="AS61" s="52"/>
      <c r="AT61" s="2">
        <f>SUM(G61,I61,M61,Q61,U61,Y61,AC61,AG61,AK61,AO61)</f>
        <v>326</v>
      </c>
      <c r="AU61" s="2">
        <f ca="1">RANK(AT61,INDIRECT("AT"&amp;VLOOKUP($A61,$BA$1:$BC$3,2,FALSE)&amp;":AT"&amp;VLOOKUP($A61,$BA$1:$BC$3,3,FALSE)),1)</f>
        <v>4</v>
      </c>
      <c r="AV61" s="6">
        <f>RANK(AT61,$AT$4:$AT$100,1)</f>
        <v>29</v>
      </c>
      <c r="AW61" s="2">
        <f>MIN(G61,I61,M61,Q61,U61,Y61,AC61,AG61,AK61,AO61)</f>
        <v>9</v>
      </c>
      <c r="AX61" s="2">
        <f>MAX(G61,I61,M61,Q61,U61,Y61,AC61,AG61,AK61,AO61)</f>
        <v>54</v>
      </c>
      <c r="AY61" s="6">
        <f>MEDIAN(G61,I61,M61,Q61,U61,Y61,AC61,AG61,AK61,AO61)</f>
        <v>32</v>
      </c>
    </row>
    <row r="62" spans="1:51" s="37" customFormat="1" ht="15.75">
      <c r="A62" s="15" t="s">
        <v>2</v>
      </c>
      <c r="B62" s="61">
        <v>52</v>
      </c>
      <c r="C62" s="43" t="str">
        <f>IF(ISBLANK(B62),"",VLOOKUP(B62,Entries!$A$4:$C$65,3,FALSE))</f>
        <v>TGT Vets</v>
      </c>
      <c r="D62" s="8">
        <f>IF(AT62=0,"",AT62)</f>
        <v>392</v>
      </c>
      <c r="E62" s="8">
        <f ca="1">IF(OR(ISBLANK(D62),D62=0,D62=""),"",RANK(D62,INDIRECT("D"&amp;VLOOKUP($A62,$BA$1:$BC$3,2,FALSE)&amp;":D"&amp;VLOOKUP($A62,$BA$1:$BC$3,3,FALSE)),1))</f>
        <v>5</v>
      </c>
      <c r="F62" s="8">
        <f>IF(OR(ISBLANK(D62),D62=0,D62=""),"",RANK(D62,$D$4:$D$100,1))</f>
        <v>43</v>
      </c>
      <c r="G62" s="8">
        <f ca="1">IF(ISNA(VLOOKUP($B62,INDIRECT("'"&amp;G$2&amp;"'!$B$3:$E$72"),4,FALSE)),"",VLOOKUP($B62,INDIRECT("'"&amp;G$2&amp;"'!$B$3:$E$72"),4,FALSE))</f>
        <v>31</v>
      </c>
      <c r="H62" s="9">
        <f ca="1">IF(G62="","",RANK(G62,INDIRECT("G"&amp;VLOOKUP($A62,$BA$1:$BC$3,2,FALSE)&amp;":G"&amp;VLOOKUP($A62,$BA$1:$BC$3,3,FALSE)),1))</f>
        <v>4</v>
      </c>
      <c r="I62" s="8">
        <f ca="1">IF(ISNA(VLOOKUP($B62,INDIRECT("'"&amp;I$2&amp;"'!$B$3:$E$72"),4,FALSE)),"",VLOOKUP($B62,INDIRECT("'"&amp;I$2&amp;"'!$B$3:$E$72"),4,FALSE))</f>
        <v>44</v>
      </c>
      <c r="J62" s="8">
        <f>IF(I62="","",G62+I62)</f>
        <v>75</v>
      </c>
      <c r="K62" s="8">
        <f ca="1">IF(J62="","",RANK(J62,INDIRECT("J"&amp;VLOOKUP($A62,$BA$1:$BC$3,2,FALSE)&amp;":J"&amp;VLOOKUP($A62,$BA$1:$BC$3,3,FALSE)),1))</f>
        <v>5</v>
      </c>
      <c r="L62" s="9">
        <f>IF(I62="","",RANK(J62,J$4:J$100,1))</f>
        <v>37</v>
      </c>
      <c r="M62" s="8">
        <f ca="1">IF(ISNA(VLOOKUP($B62,INDIRECT("'"&amp;M$2&amp;"'!$B$3:$E$72"),4,FALSE)),"",VLOOKUP($B62,INDIRECT("'"&amp;M$2&amp;"'!$B$3:$E$72"),4,FALSE))</f>
        <v>53</v>
      </c>
      <c r="N62" s="8">
        <f>IF(M62="","",M62+J62)</f>
        <v>128</v>
      </c>
      <c r="O62" s="8">
        <f ca="1">IF(N62="","",RANK(N62,INDIRECT("N"&amp;VLOOKUP($A62,$BA$1:$BC$3,2,FALSE)&amp;":N"&amp;VLOOKUP($A62,$BA$1:$BC$3,3,FALSE)),1))</f>
        <v>5</v>
      </c>
      <c r="P62" s="9">
        <f>IF(M62="","",RANK(N62,N$4:N$100,1))</f>
        <v>41</v>
      </c>
      <c r="Q62" s="8">
        <f ca="1">IF(ISNA(VLOOKUP($B62,INDIRECT("'"&amp;Q$2&amp;"'!$B$3:$E$72"),4,FALSE)),"",VLOOKUP($B62,INDIRECT("'"&amp;Q$2&amp;"'!$B$3:$E$72"),4,FALSE))</f>
        <v>31</v>
      </c>
      <c r="R62" s="8">
        <f>IF(Q62="","",Q62+N62)</f>
        <v>159</v>
      </c>
      <c r="S62" s="8">
        <f ca="1">IF(R62="","",RANK(R62,INDIRECT("R"&amp;VLOOKUP($A62,$BA$1:$BC$3,2,FALSE)&amp;":R"&amp;VLOOKUP($A62,$BA$1:$BC$3,3,FALSE)),1))</f>
        <v>5</v>
      </c>
      <c r="T62" s="9">
        <f>IF(Q62="","",RANK(R62,R$4:R$100,1))</f>
        <v>40</v>
      </c>
      <c r="U62" s="8">
        <f ca="1">IF(ISNA(VLOOKUP($B62,INDIRECT("'"&amp;U$2&amp;"'!$B$3:$E$72"),4,FALSE)),"",VLOOKUP($B62,INDIRECT("'"&amp;U$2&amp;"'!$B$3:$E$72"),4,FALSE))</f>
        <v>44</v>
      </c>
      <c r="V62" s="8">
        <f>IF(U62="","",U62+R62)</f>
        <v>203</v>
      </c>
      <c r="W62" s="8">
        <f ca="1">IF(V62="","",RANK(V62,INDIRECT("V"&amp;VLOOKUP($A62,$BA$1:$BC$3,2,FALSE)&amp;":V"&amp;VLOOKUP($A62,$BA$1:$BC$3,3,FALSE)),1))</f>
        <v>5</v>
      </c>
      <c r="X62" s="9">
        <f>IF(U62="","",RANK(V62,V$4:V$100,1))</f>
        <v>43</v>
      </c>
      <c r="Y62" s="8">
        <f ca="1">IF(ISNA(VLOOKUP($B62,INDIRECT("'"&amp;Y$2&amp;"'!$B$3:$E$72"),4,FALSE)),"",VLOOKUP($B62,INDIRECT("'"&amp;Y$2&amp;"'!$B$3:$E$72"),4,FALSE))</f>
        <v>26</v>
      </c>
      <c r="Z62" s="8">
        <f>IF(Y62="","",Y62+V62)</f>
        <v>229</v>
      </c>
      <c r="AA62" s="8">
        <f ca="1">IF(Z62="","",RANK(Z62,INDIRECT("Z"&amp;VLOOKUP($A62,$BA$1:$BC$3,2,FALSE)&amp;":Z"&amp;VLOOKUP($A62,$BA$1:$BC$3,3,FALSE)),1))</f>
        <v>5</v>
      </c>
      <c r="AB62" s="9">
        <f>IF(Y62="","",RANK(Z62,Z$4:Z$100,1))</f>
        <v>41</v>
      </c>
      <c r="AC62" s="8">
        <f ca="1">IF(ISNA(VLOOKUP($B62,INDIRECT("'"&amp;AC$2&amp;"'!$B$3:$E$72"),4,FALSE)),"",VLOOKUP($B62,INDIRECT("'"&amp;AC$2&amp;"'!$B$3:$E$72"),4,FALSE))</f>
        <v>53</v>
      </c>
      <c r="AD62" s="8">
        <f>IF(AC62="","",AC62+Z62)</f>
        <v>282</v>
      </c>
      <c r="AE62" s="8">
        <f ca="1">IF(AD62="","",RANK(AD62,INDIRECT("AD"&amp;VLOOKUP($A62,$BA$1:$BC$3,2,FALSE)&amp;":AD"&amp;VLOOKUP($A62,$BA$1:$BC$3,3,FALSE)),1))</f>
        <v>5</v>
      </c>
      <c r="AF62" s="9">
        <f>IF(AC62="","",RANK(AD62,AD$4:AD$100,1))</f>
        <v>44</v>
      </c>
      <c r="AG62" s="8">
        <f ca="1">IF(ISNA(VLOOKUP($B62,INDIRECT("'"&amp;AG$2&amp;"'!$B$3:$E$72"),4,FALSE)),"",VLOOKUP($B62,INDIRECT("'"&amp;AG$2&amp;"'!$B$3:$E$72"),4,FALSE))</f>
        <v>34</v>
      </c>
      <c r="AH62" s="8">
        <f>IF(AG62="","",AG62+AD62)</f>
        <v>316</v>
      </c>
      <c r="AI62" s="8">
        <f ca="1">IF(AH62="","",RANK(AH62,INDIRECT("AH"&amp;VLOOKUP($A62,$BA$1:$BC$3,2,FALSE)&amp;":AH"&amp;VLOOKUP($A62,$BA$1:$BC$3,3,FALSE)),1))</f>
        <v>5</v>
      </c>
      <c r="AJ62" s="9">
        <f>IF(AG62="","",RANK(AH62,AH$4:AH$100,1))</f>
        <v>42</v>
      </c>
      <c r="AK62" s="8">
        <f ca="1">IF(ISNA(VLOOKUP($B62,INDIRECT("'"&amp;AK$2&amp;"'!$B$3:$E$72"),4,FALSE)),"",VLOOKUP($B62,INDIRECT("'"&amp;AK$2&amp;"'!$B$3:$E$72"),4,FALSE))</f>
        <v>46</v>
      </c>
      <c r="AL62" s="8">
        <f>IF(AK62="","",AK62+AH62)</f>
        <v>362</v>
      </c>
      <c r="AM62" s="8">
        <f ca="1">IF(AL62="","",RANK(AL62,INDIRECT("AL"&amp;VLOOKUP($A62,$BA$1:$BC$3,2,FALSE)&amp;":AL"&amp;VLOOKUP($A62,$BA$1:$BC$3,3,FALSE)),1))</f>
        <v>5</v>
      </c>
      <c r="AN62" s="9">
        <f>IF(AK62="","",RANK(AL62,AL$4:AL$100,1))</f>
        <v>44</v>
      </c>
      <c r="AO62" s="8">
        <f ca="1">IF(ISNA(VLOOKUP($B62,INDIRECT("'"&amp;AO$2&amp;"'!$B$3:$E$72"),4,FALSE)),"",VLOOKUP($B62,INDIRECT("'"&amp;AO$2&amp;"'!$B$3:$E$72"),4,FALSE))</f>
        <v>30</v>
      </c>
      <c r="AP62" s="8">
        <f>IF(AO62="","",AO62+AL62)</f>
        <v>392</v>
      </c>
      <c r="AQ62" s="8">
        <f ca="1">IF(AP62="","",RANK(AP62,INDIRECT("AP"&amp;VLOOKUP($A62,$BA$1:$BC$3,2,FALSE)&amp;":AP"&amp;VLOOKUP($A62,$BA$1:$BC$3,3,FALSE)),1))</f>
        <v>5</v>
      </c>
      <c r="AR62" s="9">
        <f>IF(AO62="","",RANK(AP62,AP$4:AP$100,1))</f>
        <v>43</v>
      </c>
      <c r="AS62" s="51"/>
      <c r="AT62" s="8">
        <f>SUM(G62,I62,M62,Q62,U62,Y62,AC62,AG62,AK62,AO62)</f>
        <v>392</v>
      </c>
      <c r="AU62" s="8">
        <f ca="1">RANK(AT62,INDIRECT("AT"&amp;VLOOKUP($A62,$BA$1:$BC$3,2,FALSE)&amp;":AT"&amp;VLOOKUP($A62,$BA$1:$BC$3,3,FALSE)),1)</f>
        <v>5</v>
      </c>
      <c r="AV62" s="9">
        <f>RANK(AT62,$AT$4:$AT$100,1)</f>
        <v>43</v>
      </c>
      <c r="AW62" s="8">
        <f>MIN(G62,I62,M62,Q62,U62,Y62,AC62,AG62,AK62,AO62)</f>
        <v>26</v>
      </c>
      <c r="AX62" s="8">
        <f>MAX(G62,I62,M62,Q62,U62,Y62,AC62,AG62,AK62,AO62)</f>
        <v>53</v>
      </c>
      <c r="AY62" s="9">
        <f>MEDIAN(G62,I62,M62,Q62,U62,Y62,AC62,AG62,AK62,AO62)</f>
        <v>39</v>
      </c>
    </row>
  </sheetData>
  <sheetProtection/>
  <mergeCells count="14">
    <mergeCell ref="AK2:AN2"/>
    <mergeCell ref="AO2:AR2"/>
    <mergeCell ref="A1:C1"/>
    <mergeCell ref="D2:F2"/>
    <mergeCell ref="AT2:AV2"/>
    <mergeCell ref="AW2:AY2"/>
    <mergeCell ref="G2:H2"/>
    <mergeCell ref="I2:L2"/>
    <mergeCell ref="M2:P2"/>
    <mergeCell ref="Q2:T2"/>
    <mergeCell ref="U2:X2"/>
    <mergeCell ref="Y2:AB2"/>
    <mergeCell ref="AC2:AF2"/>
    <mergeCell ref="AG2:AJ2"/>
  </mergeCells>
  <printOptions horizontalCentered="1" verticalCentered="1"/>
  <pageMargins left="0.11811023622047245" right="0.11811023622047245" top="0.1968503937007874" bottom="0.1968503937007874" header="0.11811023622047245" footer="0.11811023622047245"/>
  <pageSetup fitToHeight="1" fitToWidth="1" horizontalDpi="360" verticalDpi="36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7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8" bestFit="1" customWidth="1"/>
    <col min="31" max="31" width="6.57421875" style="25" bestFit="1" customWidth="1"/>
    <col min="32" max="16384" width="9.140625" style="24" customWidth="1"/>
  </cols>
  <sheetData>
    <row r="1" spans="1:10" ht="15">
      <c r="A1" s="75" t="str">
        <f ca="1">CONCATENATE(MID(CELL("filename",A1),FIND("]",CELL("filename",A1))+1,LEN(CELL("filename",A1))-FIND("]",CELL("filename",A1)))," Results")</f>
        <v>Stage 1 Results</v>
      </c>
      <c r="B1" s="76" t="str">
        <f ca="1">CONCATENATE(MID(CELL("filename"),FIND("]",CELL("filename"))+1,LEN(CELL("filename"))-FIND("]",CELL("filename")))," Results")</f>
        <v>Overall Results</v>
      </c>
      <c r="C1" s="76" t="str">
        <f ca="1">CONCATENATE(MID(CELL("filename"),FIND("]",CELL("filename"))+1,LEN(CELL("filename"))-FIND("]",CELL("filename")))," Results")</f>
        <v>Overall Results</v>
      </c>
      <c r="D1" s="76" t="str">
        <f ca="1">CONCATENATE(MID(CELL("filename"),FIND("]",CELL("filename"))+1,LEN(CELL("filename"))-FIND("]",CELL("filename")))," Results")</f>
        <v>Overall Results</v>
      </c>
      <c r="E1" s="77" t="str">
        <f ca="1">CONCATENATE(MID(CELL("filename"),FIND("]",CELL("filename"))+1,LEN(CELL("filename"))-FIND("]",CELL("filename")))," Results")</f>
        <v>Overall Results</v>
      </c>
      <c r="G1" s="75" t="s">
        <v>72</v>
      </c>
      <c r="H1" s="76"/>
      <c r="I1" s="76"/>
      <c r="J1" s="77"/>
    </row>
    <row r="2" spans="1:31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73</v>
      </c>
      <c r="F2" s="29"/>
      <c r="G2" s="46" t="s">
        <v>205</v>
      </c>
      <c r="H2" s="46"/>
      <c r="I2" s="46"/>
      <c r="J2" s="48" t="s">
        <v>73</v>
      </c>
      <c r="K2" s="47"/>
      <c r="AA2" s="28" t="s">
        <v>9</v>
      </c>
      <c r="AB2" s="29" t="s">
        <v>70</v>
      </c>
      <c r="AC2" s="29" t="s">
        <v>4</v>
      </c>
      <c r="AD2" s="39" t="s">
        <v>71</v>
      </c>
      <c r="AE2" s="29" t="s">
        <v>73</v>
      </c>
    </row>
    <row r="3" spans="1:31" ht="15">
      <c r="A3" s="30">
        <v>1</v>
      </c>
      <c r="B3" s="30">
        <v>23</v>
      </c>
      <c r="C3" s="30" t="str">
        <f>IF(ISBLANK(B3),"",VLOOKUP(B3,Entries!$A$4:$C$65,2,FALSE))</f>
        <v>A</v>
      </c>
      <c r="D3" s="31" t="str">
        <f>IF(ISBLANK(B3),"",VLOOKUP(B3,Entries!$A$4:$C$65,3,FALSE))</f>
        <v>Springfield Striders Men A</v>
      </c>
      <c r="E3" s="30">
        <f aca="true" t="shared" si="0" ref="E3:E35">IF(ISBLANK(B3),"",A3)</f>
        <v>1</v>
      </c>
      <c r="G3" s="30">
        <v>1</v>
      </c>
      <c r="H3" s="30">
        <v>23</v>
      </c>
      <c r="I3" s="31" t="s">
        <v>81</v>
      </c>
      <c r="J3" s="30">
        <v>1</v>
      </c>
      <c r="K3" s="35"/>
      <c r="AA3" s="24">
        <v>1</v>
      </c>
      <c r="AB3" s="25">
        <v>23</v>
      </c>
      <c r="AC3" s="25" t="s">
        <v>3</v>
      </c>
      <c r="AD3" s="38" t="s">
        <v>81</v>
      </c>
      <c r="AE3" s="25">
        <v>1</v>
      </c>
    </row>
    <row r="4" spans="1:31" ht="15">
      <c r="A4" s="30">
        <v>2</v>
      </c>
      <c r="B4" s="30">
        <v>31</v>
      </c>
      <c r="C4" s="30" t="str">
        <f>IF(ISBLANK(B4),"",VLOOKUP(B4,Entries!$A$4:$C$65,2,FALSE))</f>
        <v>A</v>
      </c>
      <c r="D4" s="31" t="str">
        <f>IF(ISBLANK(B4),"",VLOOKUP(B4,Entries!$A$4:$C$65,3,FALSE))</f>
        <v>Springfield Striders Men B</v>
      </c>
      <c r="E4" s="30">
        <f t="shared" si="0"/>
        <v>2</v>
      </c>
      <c r="F4" s="25">
        <f>IF(ISBLANK($B3),"",IF($B4=$B3,"*",""))</f>
      </c>
      <c r="G4" s="30">
        <v>2</v>
      </c>
      <c r="H4" s="30">
        <v>31</v>
      </c>
      <c r="I4" s="31" t="s">
        <v>101</v>
      </c>
      <c r="J4" s="30">
        <v>2</v>
      </c>
      <c r="K4" s="35"/>
      <c r="AA4" s="24">
        <v>2</v>
      </c>
      <c r="AB4" s="25">
        <v>31</v>
      </c>
      <c r="AC4" s="25" t="s">
        <v>3</v>
      </c>
      <c r="AD4" s="38" t="s">
        <v>101</v>
      </c>
      <c r="AE4" s="25">
        <v>2</v>
      </c>
    </row>
    <row r="5" spans="1:31" ht="15">
      <c r="A5" s="30">
        <v>3</v>
      </c>
      <c r="B5" s="30">
        <v>9</v>
      </c>
      <c r="C5" s="30" t="str">
        <f>IF(ISBLANK(B5),"",VLOOKUP(B5,Entries!$A$4:$C$65,2,FALSE))</f>
        <v>A</v>
      </c>
      <c r="D5" s="31" t="str">
        <f>IF(ISBLANK(B5),"",VLOOKUP(B5,Entries!$A$4:$C$65,3,FALSE))</f>
        <v>Leigh on Sea Striders - I liked the Boys</v>
      </c>
      <c r="E5" s="30">
        <f t="shared" si="0"/>
        <v>3</v>
      </c>
      <c r="F5" s="25">
        <f>IF(ISBLANK($B4),"",IF(OR($B5=$B4,$B5=$B3),"*",""))</f>
      </c>
      <c r="G5" s="30">
        <v>3</v>
      </c>
      <c r="H5" s="30">
        <v>9</v>
      </c>
      <c r="I5" s="31" t="s">
        <v>135</v>
      </c>
      <c r="J5" s="30">
        <v>3</v>
      </c>
      <c r="K5" s="35"/>
      <c r="AA5" s="24">
        <v>3</v>
      </c>
      <c r="AB5" s="25">
        <v>9</v>
      </c>
      <c r="AC5" s="25" t="s">
        <v>3</v>
      </c>
      <c r="AD5" s="38" t="s">
        <v>135</v>
      </c>
      <c r="AE5" s="25">
        <v>3</v>
      </c>
    </row>
    <row r="6" spans="1:31" ht="15">
      <c r="A6" s="30">
        <v>4</v>
      </c>
      <c r="B6" s="30">
        <v>17</v>
      </c>
      <c r="C6" s="30" t="str">
        <f>IF(ISBLANK(B6),"",VLOOKUP(B6,Entries!$A$4:$C$65,2,FALSE))</f>
        <v>A</v>
      </c>
      <c r="D6" s="31" t="str">
        <f>IF(ISBLANK(B6),"",VLOOKUP(B6,Entries!$A$4:$C$65,3,FALSE))</f>
        <v>Benfleet Men A</v>
      </c>
      <c r="E6" s="30">
        <f t="shared" si="0"/>
        <v>4</v>
      </c>
      <c r="F6" s="25">
        <f>IF(ISBLANK($B5),"",IF(OR($B6=$B5,$B6=$B4,$B6=$B3),"*",""))</f>
      </c>
      <c r="G6" s="30">
        <v>4</v>
      </c>
      <c r="H6" s="30">
        <v>17</v>
      </c>
      <c r="I6" s="31" t="s">
        <v>107</v>
      </c>
      <c r="J6" s="30">
        <v>4</v>
      </c>
      <c r="K6" s="35"/>
      <c r="AA6" s="24">
        <v>4</v>
      </c>
      <c r="AB6" s="25">
        <v>17</v>
      </c>
      <c r="AC6" s="25" t="s">
        <v>3</v>
      </c>
      <c r="AD6" s="38" t="s">
        <v>107</v>
      </c>
      <c r="AE6" s="25">
        <v>4</v>
      </c>
    </row>
    <row r="7" spans="1:31" ht="15">
      <c r="A7" s="30">
        <v>5</v>
      </c>
      <c r="B7" s="30">
        <v>18</v>
      </c>
      <c r="C7" s="30" t="str">
        <f>IF(ISBLANK(B7),"",VLOOKUP(B7,Entries!$A$4:$C$65,2,FALSE))</f>
        <v>A</v>
      </c>
      <c r="D7" s="31" t="str">
        <f>IF(ISBLANK(B7),"",VLOOKUP(B7,Entries!$A$4:$C$65,3,FALSE))</f>
        <v>Benfleet Men B</v>
      </c>
      <c r="E7" s="30">
        <f t="shared" si="0"/>
        <v>5</v>
      </c>
      <c r="F7" s="25">
        <f>IF(ISBLANK($B6),"",IF(OR($B7=$B6,$B7=$B5,$B7=$B4,$B7=$B3),"*",""))</f>
      </c>
      <c r="G7" s="30">
        <v>5</v>
      </c>
      <c r="H7" s="30">
        <v>18</v>
      </c>
      <c r="I7" s="31" t="s">
        <v>109</v>
      </c>
      <c r="J7" s="30">
        <v>5</v>
      </c>
      <c r="K7" s="35"/>
      <c r="AA7" s="24">
        <v>5</v>
      </c>
      <c r="AB7" s="25">
        <v>18</v>
      </c>
      <c r="AC7" s="25" t="s">
        <v>3</v>
      </c>
      <c r="AD7" s="38" t="s">
        <v>109</v>
      </c>
      <c r="AE7" s="25">
        <v>5</v>
      </c>
    </row>
    <row r="8" spans="1:31" ht="15">
      <c r="A8" s="30">
        <v>6</v>
      </c>
      <c r="B8" s="30">
        <v>21</v>
      </c>
      <c r="C8" s="30" t="str">
        <f>IF(ISBLANK(B8),"",VLOOKUP(B8,Entries!$A$4:$C$65,2,FALSE))</f>
        <v>A</v>
      </c>
      <c r="D8" s="31" t="str">
        <f>IF(ISBLANK(B8),"",VLOOKUP(B8,Entries!$A$4:$C$65,3,FALSE))</f>
        <v>TGT Men A</v>
      </c>
      <c r="E8" s="30">
        <f t="shared" si="0"/>
        <v>6</v>
      </c>
      <c r="F8" s="25">
        <f>IF(ISBLANK($B7),"",IF(OR($B8=$B7,$B8=$B6,$B8=$B5,$B8=$B4,$B8=$B3),"*",""))</f>
      </c>
      <c r="G8" s="30">
        <v>6</v>
      </c>
      <c r="H8" s="30">
        <v>21</v>
      </c>
      <c r="I8" s="31" t="s">
        <v>149</v>
      </c>
      <c r="J8" s="30">
        <v>6</v>
      </c>
      <c r="K8" s="35"/>
      <c r="AA8" s="24">
        <v>6</v>
      </c>
      <c r="AB8" s="25">
        <v>21</v>
      </c>
      <c r="AC8" s="25" t="s">
        <v>3</v>
      </c>
      <c r="AD8" s="38" t="s">
        <v>149</v>
      </c>
      <c r="AE8" s="25">
        <v>6</v>
      </c>
    </row>
    <row r="9" spans="1:31" ht="15">
      <c r="A9" s="30">
        <v>7</v>
      </c>
      <c r="B9" s="30">
        <v>53</v>
      </c>
      <c r="C9" s="30" t="str">
        <f>IF(ISBLANK(B9),"",VLOOKUP(B9,Entries!$A$4:$C$65,2,FALSE))</f>
        <v>V</v>
      </c>
      <c r="D9" s="31" t="str">
        <f>IF(ISBLANK(B9),"",VLOOKUP(B9,Entries!$A$4:$C$65,3,FALSE))</f>
        <v>Springfield Striders Vets</v>
      </c>
      <c r="E9" s="30">
        <f>IF(ISBLANK(B9),"",A9)</f>
        <v>7</v>
      </c>
      <c r="F9" s="25">
        <f>IF(ISBLANK($B8),"",IF(OR($B9=$B8,$B9=$B7,$B9=$B6,$B9=$B5,$B9=$B4,$B9=$B3),"*",""))</f>
      </c>
      <c r="G9" s="30">
        <v>7</v>
      </c>
      <c r="H9" s="30">
        <v>36</v>
      </c>
      <c r="I9" s="31" t="s">
        <v>102</v>
      </c>
      <c r="J9" s="30">
        <v>8</v>
      </c>
      <c r="K9" s="35"/>
      <c r="AA9" s="24">
        <v>8</v>
      </c>
      <c r="AB9" s="25">
        <v>36</v>
      </c>
      <c r="AC9" s="25" t="s">
        <v>3</v>
      </c>
      <c r="AD9" s="38" t="s">
        <v>102</v>
      </c>
      <c r="AE9" s="25">
        <v>8</v>
      </c>
    </row>
    <row r="10" spans="1:31" ht="15">
      <c r="A10" s="30">
        <v>8</v>
      </c>
      <c r="B10" s="30">
        <v>36</v>
      </c>
      <c r="C10" s="30" t="str">
        <f>IF(ISBLANK(B10),"",VLOOKUP(B10,Entries!$A$4:$C$65,2,FALSE))</f>
        <v>A</v>
      </c>
      <c r="D10" s="31" t="str">
        <f>IF(ISBLANK(B10),"",VLOOKUP(B10,Entries!$A$4:$C$65,3,FALSE))</f>
        <v>Springfield Striders Mixed A</v>
      </c>
      <c r="E10" s="30">
        <f t="shared" si="0"/>
        <v>8</v>
      </c>
      <c r="F10" s="25">
        <f>IF(ISBLANK($B9),"",IF(OR($B10=$B9,$B10=$B8,$B10=$B7,$B10=$B6,$B10=$B5,$B10=$B4,$B10=$B3),"*",""))</f>
      </c>
      <c r="G10" s="30">
        <v>8</v>
      </c>
      <c r="H10" s="30">
        <v>5</v>
      </c>
      <c r="I10" s="31" t="s">
        <v>124</v>
      </c>
      <c r="J10" s="30">
        <v>9</v>
      </c>
      <c r="K10" s="35"/>
      <c r="AA10" s="24">
        <v>9</v>
      </c>
      <c r="AB10" s="25">
        <v>5</v>
      </c>
      <c r="AC10" s="25" t="s">
        <v>3</v>
      </c>
      <c r="AD10" s="38" t="s">
        <v>124</v>
      </c>
      <c r="AE10" s="25">
        <v>9</v>
      </c>
    </row>
    <row r="11" spans="1:31" ht="15">
      <c r="A11" s="30">
        <v>9</v>
      </c>
      <c r="B11" s="30">
        <v>5</v>
      </c>
      <c r="C11" s="30" t="str">
        <f>IF(ISBLANK(B11),"",VLOOKUP(B11,Entries!$A$4:$C$65,2,FALSE))</f>
        <v>A</v>
      </c>
      <c r="D11" s="31" t="str">
        <f>IF(ISBLANK(B11),"",VLOOKUP(B11,Entries!$A$4:$C$65,3,FALSE))</f>
        <v>Tiptree Men</v>
      </c>
      <c r="E11" s="30">
        <f t="shared" si="0"/>
        <v>9</v>
      </c>
      <c r="F11" s="25">
        <f>IF(ISBLANK($B10),"",IF(OR($B11=$B10,$B11=$B9,$B11=$B8,$B11=$B7,$B11=$B6,$B11=$B5,$B11=$B4,$B11=$B3),"*",""))</f>
      </c>
      <c r="G11" s="30">
        <v>9</v>
      </c>
      <c r="H11" s="30">
        <v>32</v>
      </c>
      <c r="I11" s="31" t="s">
        <v>163</v>
      </c>
      <c r="J11" s="30">
        <v>10</v>
      </c>
      <c r="K11" s="35"/>
      <c r="AA11" s="24">
        <v>10</v>
      </c>
      <c r="AB11" s="25">
        <v>32</v>
      </c>
      <c r="AC11" s="25" t="s">
        <v>3</v>
      </c>
      <c r="AD11" s="38" t="s">
        <v>163</v>
      </c>
      <c r="AE11" s="25">
        <v>10</v>
      </c>
    </row>
    <row r="12" spans="1:31" ht="15">
      <c r="A12" s="30">
        <v>10</v>
      </c>
      <c r="B12" s="30">
        <v>32</v>
      </c>
      <c r="C12" s="30" t="str">
        <f>IF(ISBLANK(B12),"",VLOOKUP(B12,Entries!$A$4:$C$65,2,FALSE))</f>
        <v>A</v>
      </c>
      <c r="D12" s="31" t="str">
        <f>IF(ISBLANK(B12),"",VLOOKUP(B12,Entries!$A$4:$C$65,3,FALSE))</f>
        <v>Grange Farm A</v>
      </c>
      <c r="E12" s="30">
        <f t="shared" si="0"/>
        <v>10</v>
      </c>
      <c r="F12" s="25">
        <f>IF(ISBLANK($B12),"",IF(OR($B12=$B11,$B12=$B10,$B12=$B9,$B12=$B8,$B12=$B7,$B12=$B6,$B12=$B5,$B12=$B4,$B12=$B3),"*",""))</f>
      </c>
      <c r="G12" s="30">
        <v>10</v>
      </c>
      <c r="H12" s="30">
        <v>19</v>
      </c>
      <c r="I12" s="31" t="s">
        <v>110</v>
      </c>
      <c r="J12" s="30">
        <v>11</v>
      </c>
      <c r="K12" s="35"/>
      <c r="AA12" s="24">
        <v>11</v>
      </c>
      <c r="AB12" s="25">
        <v>19</v>
      </c>
      <c r="AC12" s="25" t="s">
        <v>3</v>
      </c>
      <c r="AD12" s="38" t="s">
        <v>110</v>
      </c>
      <c r="AE12" s="25">
        <v>11</v>
      </c>
    </row>
    <row r="13" spans="1:31" ht="15">
      <c r="A13" s="30">
        <v>11</v>
      </c>
      <c r="B13" s="30">
        <v>19</v>
      </c>
      <c r="C13" s="30" t="str">
        <f>IF(ISBLANK(B13),"",VLOOKUP(B13,Entries!$A$4:$C$65,2,FALSE))</f>
        <v>A</v>
      </c>
      <c r="D13" s="31" t="str">
        <f>IF(ISBLANK(B13),"",VLOOKUP(B13,Entries!$A$4:$C$65,3,FALSE))</f>
        <v>Benfleet Men C</v>
      </c>
      <c r="E13" s="30">
        <f t="shared" si="0"/>
        <v>11</v>
      </c>
      <c r="F13" s="25">
        <f>IF(ISBLANK($B13),"",IF(OR($B13=$B12,$B13=$B11,$B13=$B10,$B13=$B9,$B13=$B8,$B13=$B7,$B13=$B6,$B13=$B5,$B13=$B4,$B13=$B3),"*",""))</f>
      </c>
      <c r="G13" s="30">
        <v>11</v>
      </c>
      <c r="H13" s="30">
        <v>34</v>
      </c>
      <c r="I13" s="31" t="s">
        <v>167</v>
      </c>
      <c r="J13" s="30">
        <v>12</v>
      </c>
      <c r="K13" s="35"/>
      <c r="AA13" s="24">
        <v>12</v>
      </c>
      <c r="AB13" s="25">
        <v>34</v>
      </c>
      <c r="AC13" s="25" t="s">
        <v>3</v>
      </c>
      <c r="AD13" s="38" t="s">
        <v>167</v>
      </c>
      <c r="AE13" s="25">
        <v>12</v>
      </c>
    </row>
    <row r="14" spans="1:31" ht="15">
      <c r="A14" s="30">
        <v>12</v>
      </c>
      <c r="B14" s="30">
        <v>34</v>
      </c>
      <c r="C14" s="30" t="str">
        <f>IF(ISBLANK(B14),"",VLOOKUP(B14,Entries!$A$4:$C$65,2,FALSE))</f>
        <v>A</v>
      </c>
      <c r="D14" s="31" t="str">
        <f>IF(ISBLANK(B14),"",VLOOKUP(B14,Entries!$A$4:$C$65,3,FALSE))</f>
        <v>Grange Farm C</v>
      </c>
      <c r="E14" s="30">
        <f t="shared" si="0"/>
        <v>12</v>
      </c>
      <c r="F14" s="25">
        <f>IF(ISBLANK($B14),"",IF(OR($B14=$B13,$B14=$B12,$B14=$B11,$B14=$B10,$B14=$B9,$B14=$B8,$B14=$B7,$B14=$B6,$B14=$B5,$B14=$B4,$B14=$B3),"*",""))</f>
      </c>
      <c r="G14" s="30">
        <v>12</v>
      </c>
      <c r="H14" s="30">
        <v>28</v>
      </c>
      <c r="I14" s="31" t="s">
        <v>91</v>
      </c>
      <c r="J14" s="30">
        <v>13</v>
      </c>
      <c r="K14" s="35"/>
      <c r="AA14" s="24">
        <v>13</v>
      </c>
      <c r="AB14" s="25">
        <v>28</v>
      </c>
      <c r="AC14" s="25" t="s">
        <v>3</v>
      </c>
      <c r="AD14" s="38" t="s">
        <v>91</v>
      </c>
      <c r="AE14" s="25">
        <v>13</v>
      </c>
    </row>
    <row r="15" spans="1:31" ht="15">
      <c r="A15" s="30">
        <v>13</v>
      </c>
      <c r="B15" s="30">
        <v>28</v>
      </c>
      <c r="C15" s="30" t="str">
        <f>IF(ISBLANK(B15),"",VLOOKUP(B15,Entries!$A$4:$C$65,2,FALSE))</f>
        <v>A</v>
      </c>
      <c r="D15" s="31" t="str">
        <f>IF(ISBLANK(B15),"",VLOOKUP(B15,Entries!$A$4:$C$65,3,FALSE))</f>
        <v>Ilford A</v>
      </c>
      <c r="E15" s="30">
        <f t="shared" si="0"/>
        <v>13</v>
      </c>
      <c r="F15" s="25">
        <f>IF(ISBLANK($B15),"",IF(OR($B15=$B14,$B15=$B13,$B15=$B12,$B15=$B11,$B15=$B10,$B15=$B9,$B15=$B8,$B15=$B7,$B15=$B6,$B15=$B5,$B15=$B4,$B15=$B3),"*",""))</f>
      </c>
      <c r="G15" s="30">
        <v>13</v>
      </c>
      <c r="H15" s="30">
        <v>25</v>
      </c>
      <c r="I15" s="31" t="s">
        <v>160</v>
      </c>
      <c r="J15" s="30">
        <v>14</v>
      </c>
      <c r="K15" s="35"/>
      <c r="AA15" s="24">
        <v>14</v>
      </c>
      <c r="AB15" s="25">
        <v>25</v>
      </c>
      <c r="AC15" s="25" t="s">
        <v>3</v>
      </c>
      <c r="AD15" s="38" t="s">
        <v>160</v>
      </c>
      <c r="AE15" s="25">
        <v>14</v>
      </c>
    </row>
    <row r="16" spans="1:31" ht="15">
      <c r="A16" s="30">
        <v>14</v>
      </c>
      <c r="B16" s="30">
        <v>25</v>
      </c>
      <c r="C16" s="30" t="str">
        <f>IF(ISBLANK(B16),"",VLOOKUP(B16,Entries!$A$4:$C$65,2,FALSE))</f>
        <v>A</v>
      </c>
      <c r="D16" s="31" t="str">
        <f>IF(ISBLANK(B16),"",VLOOKUP(B16,Entries!$A$4:$C$65,3,FALSE))</f>
        <v>Southend Men B</v>
      </c>
      <c r="E16" s="30">
        <f t="shared" si="0"/>
        <v>14</v>
      </c>
      <c r="F16" s="25">
        <f>IF(ISBLANK($B16),"",IF(OR($B16=$B15,$B16=$B14,$B16=$B13,$B16=$B12,$B16=$B11,$B16=$B10,$B16=$B9,$B16=$B8,$B16=$B7,$B16=$B6,$B16=$B5,$B16=$B4,$B16=$B3),"*",""))</f>
      </c>
      <c r="G16" s="30">
        <v>14</v>
      </c>
      <c r="H16" s="30">
        <v>38</v>
      </c>
      <c r="I16" s="31" t="s">
        <v>104</v>
      </c>
      <c r="J16" s="30">
        <v>15</v>
      </c>
      <c r="K16" s="35"/>
      <c r="AA16" s="24">
        <v>15</v>
      </c>
      <c r="AB16" s="25">
        <v>38</v>
      </c>
      <c r="AC16" s="25" t="s">
        <v>3</v>
      </c>
      <c r="AD16" s="38" t="s">
        <v>104</v>
      </c>
      <c r="AE16" s="25">
        <v>15</v>
      </c>
    </row>
    <row r="17" spans="1:31" ht="15">
      <c r="A17" s="30">
        <v>15</v>
      </c>
      <c r="B17" s="30">
        <v>38</v>
      </c>
      <c r="C17" s="30" t="str">
        <f>IF(ISBLANK(B17),"",VLOOKUP(B17,Entries!$A$4:$C$65,2,FALSE))</f>
        <v>A</v>
      </c>
      <c r="D17" s="31" t="str">
        <f>IF(ISBLANK(B17),"",VLOOKUP(B17,Entries!$A$4:$C$65,3,FALSE))</f>
        <v>Springfield Striders Mixed C</v>
      </c>
      <c r="E17" s="30">
        <f t="shared" si="0"/>
        <v>15</v>
      </c>
      <c r="F17" s="25">
        <f>IF(ISBLANK($B17),"",IF(OR($B17=$B16,$B17=$B15,$B17=$B14,$B17=$B13,$B17=$B12,$B17=$B11,$B17=$B10,$B17=$B9,$B17=$B8,$B17=$B7,$B17=$B6,$B17=$B5,$B17=$B4,$B17=$B3),"*",""))</f>
      </c>
      <c r="G17" s="30">
        <v>15</v>
      </c>
      <c r="H17" s="30">
        <v>35</v>
      </c>
      <c r="I17" s="31" t="s">
        <v>168</v>
      </c>
      <c r="J17" s="30">
        <v>18</v>
      </c>
      <c r="K17" s="35"/>
      <c r="AA17" s="24">
        <v>18</v>
      </c>
      <c r="AB17" s="25">
        <v>35</v>
      </c>
      <c r="AC17" s="25" t="s">
        <v>3</v>
      </c>
      <c r="AD17" s="38" t="s">
        <v>168</v>
      </c>
      <c r="AE17" s="25">
        <v>18</v>
      </c>
    </row>
    <row r="18" spans="1:31" ht="15">
      <c r="A18" s="30">
        <v>16</v>
      </c>
      <c r="B18" s="30">
        <v>59</v>
      </c>
      <c r="C18" s="30" t="str">
        <f>IF(ISBLANK(B18),"",VLOOKUP(B18,Entries!$A$4:$C$65,2,FALSE))</f>
        <v>L</v>
      </c>
      <c r="D18" s="31" t="str">
        <f>IF(ISBLANK(B18),"",VLOOKUP(B18,Entries!$A$4:$C$65,3,FALSE))</f>
        <v>Grange Farm Ladies</v>
      </c>
      <c r="E18" s="30">
        <f t="shared" si="0"/>
        <v>16</v>
      </c>
      <c r="F18" s="25">
        <f>IF(ISBLANK($B18),"",IF(OR($B18=$B17,$B18=$B16,$B18=$B15,$B18=$B14,$B18=$B13,$B18=$B12,$B18=$B11,$B18=$B10,$B18=$B9,$B18=$B8,$B18=$B7,$B18=$B6,$B18=$B5,$B18=$B4,$B18=$B3),"*",""))</f>
      </c>
      <c r="G18" s="30">
        <v>16</v>
      </c>
      <c r="H18" s="30">
        <v>24</v>
      </c>
      <c r="I18" s="31" t="s">
        <v>157</v>
      </c>
      <c r="J18" s="30">
        <v>19</v>
      </c>
      <c r="K18" s="35"/>
      <c r="AA18" s="24">
        <v>19</v>
      </c>
      <c r="AB18" s="25">
        <v>24</v>
      </c>
      <c r="AC18" s="25" t="s">
        <v>3</v>
      </c>
      <c r="AD18" s="38" t="s">
        <v>157</v>
      </c>
      <c r="AE18" s="25">
        <v>19</v>
      </c>
    </row>
    <row r="19" spans="1:31" ht="15">
      <c r="A19" s="30">
        <v>17</v>
      </c>
      <c r="B19" s="30">
        <v>64</v>
      </c>
      <c r="C19" s="30" t="str">
        <f>IF(ISBLANK(B19),"",VLOOKUP(B19,Entries!$A$4:$C$65,2,FALSE))</f>
        <v>L</v>
      </c>
      <c r="D19" s="31" t="str">
        <f>IF(ISBLANK(B19),"",VLOOKUP(B19,Entries!$A$4:$C$65,3,FALSE))</f>
        <v>Benfleet Ladies A</v>
      </c>
      <c r="E19" s="30">
        <f t="shared" si="0"/>
        <v>17</v>
      </c>
      <c r="F19" s="25">
        <f>IF(ISBLANK($B19),"",IF(OR($B19=$B18,$B19=$B17,$B19=$B16,$B19=$B15,$B19=$B14,$B19=$B13,$B19=$B12,$B19=$B11,$B19=$B10,$B19=$B9,$B19=$B8,$B19=$B7,$B19=$B6,$B19=$B5,$B19=$B4,$B19=$B3),"*",""))</f>
      </c>
      <c r="G19" s="30">
        <v>17</v>
      </c>
      <c r="H19" s="30">
        <v>7</v>
      </c>
      <c r="I19" s="31" t="s">
        <v>129</v>
      </c>
      <c r="J19" s="30">
        <v>21</v>
      </c>
      <c r="K19" s="35"/>
      <c r="AA19" s="24">
        <v>21</v>
      </c>
      <c r="AB19" s="25">
        <v>7</v>
      </c>
      <c r="AC19" s="25" t="s">
        <v>3</v>
      </c>
      <c r="AD19" s="38" t="s">
        <v>129</v>
      </c>
      <c r="AE19" s="25">
        <v>21</v>
      </c>
    </row>
    <row r="20" spans="1:31" ht="15">
      <c r="A20" s="30">
        <v>18</v>
      </c>
      <c r="B20" s="30">
        <v>35</v>
      </c>
      <c r="C20" s="30" t="str">
        <f>IF(ISBLANK(B20),"",VLOOKUP(B20,Entries!$A$4:$C$65,2,FALSE))</f>
        <v>A</v>
      </c>
      <c r="D20" s="31" t="str">
        <f>IF(ISBLANK(B20),"",VLOOKUP(B20,Entries!$A$4:$C$65,3,FALSE))</f>
        <v>Leigh on Sea Towels by Poolside</v>
      </c>
      <c r="E20" s="30">
        <f t="shared" si="0"/>
        <v>18</v>
      </c>
      <c r="F20" s="25">
        <f>IF(ISBLANK($B20),"",IF(OR($B20=$B19,$B20=$B18,$B20=$B17,$B20=$B16,$B20=$B15,$B20=$B14,$B20=$B13,$B20=$B12,$B20=$B11,$B20=$B10,$B20=$B9,$B20=$B8,$B20=$B7,$B20=$B6,$B20=$B5,$B20=$B4,$B20=$B3),"*",""))</f>
      </c>
      <c r="G20" s="30">
        <v>18</v>
      </c>
      <c r="H20" s="30">
        <v>33</v>
      </c>
      <c r="I20" s="31" t="s">
        <v>166</v>
      </c>
      <c r="J20" s="30">
        <v>22</v>
      </c>
      <c r="K20" s="35"/>
      <c r="AA20" s="24">
        <v>22</v>
      </c>
      <c r="AB20" s="25">
        <v>33</v>
      </c>
      <c r="AC20" s="25" t="s">
        <v>3</v>
      </c>
      <c r="AD20" s="38" t="s">
        <v>166</v>
      </c>
      <c r="AE20" s="25">
        <v>22</v>
      </c>
    </row>
    <row r="21" spans="1:31" ht="15">
      <c r="A21" s="30">
        <v>19</v>
      </c>
      <c r="B21" s="30">
        <v>24</v>
      </c>
      <c r="C21" s="30" t="str">
        <f>IF(ISBLANK(B21),"",VLOOKUP(B21,Entries!$A$4:$C$65,2,FALSE))</f>
        <v>A</v>
      </c>
      <c r="D21" s="31" t="str">
        <f>IF(ISBLANK(B21),"",VLOOKUP(B21,Entries!$A$4:$C$65,3,FALSE))</f>
        <v>Southend Men A</v>
      </c>
      <c r="E21" s="30">
        <f t="shared" si="0"/>
        <v>19</v>
      </c>
      <c r="F21" s="25">
        <f>IF(ISBLANK($B21),"",IF(OR($B21=$B20,$B21=$B19,$B21=$B18,$B21=$B17,$B21=$B16,$B21=$B15,$B21=$B14,$B21=$B13,$B21=$B12,$B21=$B11,$B21=$B10,$B21=$B9,$B21=$B8,$B21=$B7,$B21=$B6,$B21=$B5,$B21=$B4,$B21=$B3),"*",""))</f>
      </c>
      <c r="G21" s="30">
        <v>19</v>
      </c>
      <c r="H21" s="30">
        <v>13</v>
      </c>
      <c r="I21" s="31" t="s">
        <v>85</v>
      </c>
      <c r="J21" s="30">
        <v>24</v>
      </c>
      <c r="K21" s="35"/>
      <c r="AA21" s="24">
        <v>24</v>
      </c>
      <c r="AB21" s="25">
        <v>13</v>
      </c>
      <c r="AC21" s="25" t="s">
        <v>3</v>
      </c>
      <c r="AD21" s="38" t="s">
        <v>85</v>
      </c>
      <c r="AE21" s="25">
        <v>24</v>
      </c>
    </row>
    <row r="22" spans="1:31" ht="15">
      <c r="A22" s="30">
        <v>20</v>
      </c>
      <c r="B22" s="30">
        <v>50</v>
      </c>
      <c r="C22" s="30" t="str">
        <f>IF(ISBLANK(B22),"",VLOOKUP(B22,Entries!$A$4:$C$65,2,FALSE))</f>
        <v>V</v>
      </c>
      <c r="D22" s="31" t="str">
        <f>IF(ISBLANK(B22),"",VLOOKUP(B22,Entries!$A$4:$C$65,3,FALSE))</f>
        <v>Harwich Runners Vets</v>
      </c>
      <c r="E22" s="30">
        <f t="shared" si="0"/>
        <v>20</v>
      </c>
      <c r="F22" s="25">
        <f>IF(ISBLANK($B22),"",IF(OR($B22=$B21,$B22=$B20,$B22=$B19,$B22=$B18,$B22=$B17,$B22=$B16,$B22=$B15,$B22=$B14,$B22=$B13,$B22=$B12,$B22=$B11,$B22=$B10,$B22=$B9,$B22=$B8,$B22=$B7,$B22=$B6,$B22=$B5,$B22=$B4,$B22=$B3),"*",""))</f>
      </c>
      <c r="G22" s="30">
        <v>20</v>
      </c>
      <c r="H22" s="30">
        <v>37</v>
      </c>
      <c r="I22" s="31" t="s">
        <v>103</v>
      </c>
      <c r="J22" s="30">
        <v>25</v>
      </c>
      <c r="K22" s="35"/>
      <c r="AA22" s="24">
        <v>25</v>
      </c>
      <c r="AB22" s="25">
        <v>37</v>
      </c>
      <c r="AC22" s="25" t="s">
        <v>3</v>
      </c>
      <c r="AD22" s="38" t="s">
        <v>103</v>
      </c>
      <c r="AE22" s="25">
        <v>25</v>
      </c>
    </row>
    <row r="23" spans="1:31" ht="15">
      <c r="A23" s="30">
        <v>21</v>
      </c>
      <c r="B23" s="30">
        <v>7</v>
      </c>
      <c r="C23" s="30" t="str">
        <f>IF(ISBLANK(B23),"",VLOOKUP(B23,Entries!$A$4:$C$65,2,FALSE))</f>
        <v>A</v>
      </c>
      <c r="D23" s="31" t="str">
        <f>IF(ISBLANK(B23),"",VLOOKUP(B23,Entries!$A$4:$C$65,3,FALSE))</f>
        <v>Halstead Road Runners</v>
      </c>
      <c r="E23" s="30">
        <f t="shared" si="0"/>
        <v>21</v>
      </c>
      <c r="F23" s="25">
        <f>IF(ISBLANK($B23),"",IF(OR($B23=$B22,$B23=$B21,$B23=$B20,$B23=$B19,$B23=$B18,$B23=$B17,$B23=$B16,$B23=$B15,$B23=$B14,$B23=$B13,$B23=$B12,$B23=$B11,$B23=$B10,$B23=$B9,$B3=$B8,$B23=$B7,$B23=$B6,$B23=$B5,$B23=$B4,$B23=$B3),"*",""))</f>
      </c>
      <c r="G23" s="30">
        <v>21</v>
      </c>
      <c r="H23" s="30">
        <v>26</v>
      </c>
      <c r="I23" s="31" t="s">
        <v>162</v>
      </c>
      <c r="J23" s="30">
        <v>26</v>
      </c>
      <c r="K23" s="35"/>
      <c r="AA23" s="24">
        <v>26</v>
      </c>
      <c r="AB23" s="25">
        <v>26</v>
      </c>
      <c r="AC23" s="25" t="s">
        <v>3</v>
      </c>
      <c r="AD23" s="38" t="s">
        <v>162</v>
      </c>
      <c r="AE23" s="25">
        <v>26</v>
      </c>
    </row>
    <row r="24" spans="1:31" ht="15">
      <c r="A24" s="30">
        <v>22</v>
      </c>
      <c r="B24" s="30">
        <v>33</v>
      </c>
      <c r="C24" s="30" t="str">
        <f>IF(ISBLANK(B24),"",VLOOKUP(B24,Entries!$A$4:$C$65,2,FALSE))</f>
        <v>A</v>
      </c>
      <c r="D24" s="31" t="str">
        <f>IF(ISBLANK(B24),"",VLOOKUP(B24,Entries!$A$4:$C$65,3,FALSE))</f>
        <v>Grange Farm B</v>
      </c>
      <c r="E24" s="30">
        <f t="shared" si="0"/>
        <v>22</v>
      </c>
      <c r="F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G24" s="30">
        <v>22</v>
      </c>
      <c r="H24" s="30">
        <v>4</v>
      </c>
      <c r="I24" s="31" t="s">
        <v>123</v>
      </c>
      <c r="J24" s="30">
        <v>27</v>
      </c>
      <c r="K24" s="35"/>
      <c r="AA24" s="24">
        <v>27</v>
      </c>
      <c r="AB24" s="25">
        <v>4</v>
      </c>
      <c r="AC24" s="25" t="s">
        <v>3</v>
      </c>
      <c r="AD24" s="38" t="s">
        <v>123</v>
      </c>
      <c r="AE24" s="25">
        <v>27</v>
      </c>
    </row>
    <row r="25" spans="1:31" ht="15">
      <c r="A25" s="30">
        <v>23</v>
      </c>
      <c r="B25" s="30">
        <v>51</v>
      </c>
      <c r="C25" s="30" t="str">
        <f>IF(ISBLANK(B25),"",VLOOKUP(B25,Entries!$A$4:$C$65,2,FALSE))</f>
        <v>V</v>
      </c>
      <c r="D25" s="31" t="str">
        <f>IF(ISBLANK(B25),"",VLOOKUP(B25,Entries!$A$4:$C$65,3,FALSE))</f>
        <v>Ilford Vets</v>
      </c>
      <c r="E25" s="30">
        <f t="shared" si="0"/>
        <v>23</v>
      </c>
      <c r="F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G25" s="30">
        <v>23</v>
      </c>
      <c r="H25" s="30">
        <v>30</v>
      </c>
      <c r="I25" s="31" t="s">
        <v>100</v>
      </c>
      <c r="J25" s="30">
        <v>28</v>
      </c>
      <c r="K25" s="35"/>
      <c r="AA25" s="24">
        <v>28</v>
      </c>
      <c r="AB25" s="25">
        <v>30</v>
      </c>
      <c r="AC25" s="25" t="s">
        <v>3</v>
      </c>
      <c r="AD25" s="38" t="s">
        <v>100</v>
      </c>
      <c r="AE25" s="25">
        <v>28</v>
      </c>
    </row>
    <row r="26" spans="1:31" ht="15">
      <c r="A26" s="30">
        <v>24</v>
      </c>
      <c r="B26" s="30">
        <v>13</v>
      </c>
      <c r="C26" s="30" t="str">
        <f>IF(ISBLANK(B26),"",VLOOKUP(B26,Entries!$A$4:$C$65,2,FALSE))</f>
        <v>A</v>
      </c>
      <c r="D26" s="31" t="str">
        <f>IF(ISBLANK(B26),"",VLOOKUP(B26,Entries!$A$4:$C$65,3,FALSE))</f>
        <v>Mid Essex Casuals B</v>
      </c>
      <c r="E26" s="30">
        <f t="shared" si="0"/>
        <v>24</v>
      </c>
      <c r="F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G26" s="30">
        <v>24</v>
      </c>
      <c r="H26" s="30">
        <v>39</v>
      </c>
      <c r="I26" s="31" t="s">
        <v>105</v>
      </c>
      <c r="J26" s="30">
        <v>33</v>
      </c>
      <c r="K26" s="35"/>
      <c r="AA26" s="24">
        <v>33</v>
      </c>
      <c r="AB26" s="25">
        <v>39</v>
      </c>
      <c r="AC26" s="25" t="s">
        <v>3</v>
      </c>
      <c r="AD26" s="38" t="s">
        <v>105</v>
      </c>
      <c r="AE26" s="25">
        <v>33</v>
      </c>
    </row>
    <row r="27" spans="1:31" ht="15">
      <c r="A27" s="30">
        <v>25</v>
      </c>
      <c r="B27" s="30">
        <v>37</v>
      </c>
      <c r="C27" s="30" t="str">
        <f>IF(ISBLANK(B27),"",VLOOKUP(B27,Entries!$A$4:$C$65,2,FALSE))</f>
        <v>A</v>
      </c>
      <c r="D27" s="31" t="str">
        <f>IF(ISBLANK(B27),"",VLOOKUP(B27,Entries!$A$4:$C$65,3,FALSE))</f>
        <v>Springfield Striders Mixed B</v>
      </c>
      <c r="E27" s="30">
        <f t="shared" si="0"/>
        <v>25</v>
      </c>
      <c r="F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G27" s="30">
        <v>25</v>
      </c>
      <c r="H27" s="30">
        <v>10</v>
      </c>
      <c r="I27" s="31" t="s">
        <v>136</v>
      </c>
      <c r="J27" s="30">
        <v>34</v>
      </c>
      <c r="K27" s="35"/>
      <c r="AA27" s="24">
        <v>34</v>
      </c>
      <c r="AB27" s="25">
        <v>10</v>
      </c>
      <c r="AC27" s="25" t="s">
        <v>3</v>
      </c>
      <c r="AD27" s="38" t="s">
        <v>136</v>
      </c>
      <c r="AE27" s="25">
        <v>34</v>
      </c>
    </row>
    <row r="28" spans="1:31" ht="15">
      <c r="A28" s="30">
        <v>26</v>
      </c>
      <c r="B28" s="30">
        <v>26</v>
      </c>
      <c r="C28" s="30" t="str">
        <f>IF(ISBLANK(B28),"",VLOOKUP(B28,Entries!$A$4:$C$65,2,FALSE))</f>
        <v>A</v>
      </c>
      <c r="D28" s="31" t="str">
        <f>IF(ISBLANK(B28),"",VLOOKUP(B28,Entries!$A$4:$C$65,3,FALSE))</f>
        <v>Harwich Runners Men</v>
      </c>
      <c r="E28" s="30">
        <f t="shared" si="0"/>
        <v>26</v>
      </c>
      <c r="F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G28" s="30">
        <v>26</v>
      </c>
      <c r="H28" s="30">
        <v>14</v>
      </c>
      <c r="I28" s="31" t="s">
        <v>141</v>
      </c>
      <c r="J28" s="30">
        <v>35</v>
      </c>
      <c r="K28" s="35"/>
      <c r="AA28" s="24">
        <v>35</v>
      </c>
      <c r="AB28" s="25">
        <v>14</v>
      </c>
      <c r="AC28" s="25" t="s">
        <v>3</v>
      </c>
      <c r="AD28" s="38" t="s">
        <v>141</v>
      </c>
      <c r="AE28" s="25">
        <v>35</v>
      </c>
    </row>
    <row r="29" spans="1:31" ht="15">
      <c r="A29" s="30">
        <v>27</v>
      </c>
      <c r="B29" s="30">
        <v>4</v>
      </c>
      <c r="C29" s="30" t="str">
        <f>IF(ISBLANK(B29),"",VLOOKUP(B29,Entries!$A$4:$C$65,2,FALSE))</f>
        <v>A</v>
      </c>
      <c r="D29" s="31" t="str">
        <f>IF(ISBLANK(B29),"",VLOOKUP(B29,Entries!$A$4:$C$65,3,FALSE))</f>
        <v>Tiptree B</v>
      </c>
      <c r="E29" s="30">
        <f t="shared" si="0"/>
        <v>27</v>
      </c>
      <c r="F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G29" s="30">
        <v>27</v>
      </c>
      <c r="H29" s="30">
        <v>11</v>
      </c>
      <c r="I29" s="31" t="s">
        <v>65</v>
      </c>
      <c r="J29" s="30">
        <v>36</v>
      </c>
      <c r="K29" s="35"/>
      <c r="AA29" s="24">
        <v>36</v>
      </c>
      <c r="AB29" s="25">
        <v>11</v>
      </c>
      <c r="AC29" s="25" t="s">
        <v>3</v>
      </c>
      <c r="AD29" s="38" t="s">
        <v>65</v>
      </c>
      <c r="AE29" s="25">
        <v>36</v>
      </c>
    </row>
    <row r="30" spans="1:31" ht="15">
      <c r="A30" s="30">
        <v>28</v>
      </c>
      <c r="B30" s="30">
        <v>30</v>
      </c>
      <c r="C30" s="30" t="str">
        <f>IF(ISBLANK(B30),"",VLOOKUP(B30,Entries!$A$4:$C$65,2,FALSE))</f>
        <v>A</v>
      </c>
      <c r="D30" s="31" t="str">
        <f>IF(ISBLANK(B30),"",VLOOKUP(B30,Entries!$A$4:$C$65,3,FALSE))</f>
        <v>Witham Running Club</v>
      </c>
      <c r="E30" s="30">
        <f t="shared" si="0"/>
        <v>28</v>
      </c>
      <c r="F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G30" s="30">
        <v>28</v>
      </c>
      <c r="H30" s="30">
        <v>20</v>
      </c>
      <c r="I30" s="31" t="s">
        <v>145</v>
      </c>
      <c r="J30" s="30">
        <v>37</v>
      </c>
      <c r="K30" s="35"/>
      <c r="AA30" s="24">
        <v>37</v>
      </c>
      <c r="AB30" s="25">
        <v>20</v>
      </c>
      <c r="AC30" s="25" t="s">
        <v>3</v>
      </c>
      <c r="AD30" s="38" t="s">
        <v>145</v>
      </c>
      <c r="AE30" s="25">
        <v>37</v>
      </c>
    </row>
    <row r="31" spans="1:31" ht="15">
      <c r="A31" s="30">
        <v>29</v>
      </c>
      <c r="B31" s="30">
        <v>62</v>
      </c>
      <c r="C31" s="30" t="str">
        <f>IF(ISBLANK(B31),"",VLOOKUP(B31,Entries!$A$4:$C$65,2,FALSE))</f>
        <v>L</v>
      </c>
      <c r="D31" s="31" t="str">
        <f>IF(ISBLANK(B31),"",VLOOKUP(B31,Entries!$A$4:$C$65,3,FALSE))</f>
        <v>Leigh on Sea - Weekend without Make up</v>
      </c>
      <c r="E31" s="30">
        <f t="shared" si="0"/>
        <v>29</v>
      </c>
      <c r="F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G31" s="30">
        <v>29</v>
      </c>
      <c r="H31" s="30">
        <v>29</v>
      </c>
      <c r="I31" s="31" t="s">
        <v>92</v>
      </c>
      <c r="J31" s="30">
        <v>44</v>
      </c>
      <c r="K31" s="35"/>
      <c r="AA31" s="24">
        <v>44</v>
      </c>
      <c r="AB31" s="25">
        <v>29</v>
      </c>
      <c r="AC31" s="25" t="s">
        <v>3</v>
      </c>
      <c r="AD31" s="38" t="s">
        <v>92</v>
      </c>
      <c r="AE31" s="25">
        <v>44</v>
      </c>
    </row>
    <row r="32" spans="1:31" ht="15">
      <c r="A32" s="30">
        <v>30</v>
      </c>
      <c r="B32" s="30">
        <v>66</v>
      </c>
      <c r="C32" s="30" t="str">
        <f>IF(ISBLANK(B32),"",VLOOKUP(B32,Entries!$A$4:$C$65,2,FALSE))</f>
        <v>L</v>
      </c>
      <c r="D32" s="31" t="str">
        <f>IF(ISBLANK(B32),"",VLOOKUP(B32,Entries!$A$4:$C$65,3,FALSE))</f>
        <v>TGT Ladies A</v>
      </c>
      <c r="E32" s="30">
        <f t="shared" si="0"/>
        <v>30</v>
      </c>
      <c r="F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G32" s="30">
        <v>30</v>
      </c>
      <c r="H32" s="30">
        <v>2</v>
      </c>
      <c r="I32" s="31" t="s">
        <v>98</v>
      </c>
      <c r="J32" s="30">
        <v>45</v>
      </c>
      <c r="K32" s="35"/>
      <c r="AA32" s="24">
        <v>45</v>
      </c>
      <c r="AB32" s="25">
        <v>2</v>
      </c>
      <c r="AC32" s="25" t="s">
        <v>3</v>
      </c>
      <c r="AD32" s="38" t="s">
        <v>98</v>
      </c>
      <c r="AE32" s="25">
        <v>45</v>
      </c>
    </row>
    <row r="33" spans="1:31" ht="15">
      <c r="A33" s="30">
        <v>31</v>
      </c>
      <c r="B33" s="30">
        <v>52</v>
      </c>
      <c r="C33" s="30" t="str">
        <f>IF(ISBLANK(B33),"",VLOOKUP(B33,Entries!$A$4:$C$65,2,FALSE))</f>
        <v>V</v>
      </c>
      <c r="D33" s="31" t="str">
        <f>IF(ISBLANK(B33),"",VLOOKUP(B33,Entries!$A$4:$C$65,3,FALSE))</f>
        <v>TGT Vets</v>
      </c>
      <c r="E33" s="30">
        <f t="shared" si="0"/>
        <v>31</v>
      </c>
      <c r="F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G33" s="30">
        <v>31</v>
      </c>
      <c r="H33" s="30">
        <v>6</v>
      </c>
      <c r="I33" s="31" t="s">
        <v>127</v>
      </c>
      <c r="J33" s="30">
        <v>48</v>
      </c>
      <c r="K33" s="35"/>
      <c r="AA33" s="24">
        <v>48</v>
      </c>
      <c r="AB33" s="25">
        <v>6</v>
      </c>
      <c r="AC33" s="25" t="s">
        <v>3</v>
      </c>
      <c r="AD33" s="38" t="s">
        <v>127</v>
      </c>
      <c r="AE33" s="25">
        <v>48</v>
      </c>
    </row>
    <row r="34" spans="1:31" ht="15">
      <c r="A34" s="30">
        <v>32</v>
      </c>
      <c r="B34" s="30">
        <v>61</v>
      </c>
      <c r="C34" s="30" t="str">
        <f>IF(ISBLANK(B34),"",VLOOKUP(B34,Entries!$A$4:$C$65,2,FALSE))</f>
        <v>L</v>
      </c>
      <c r="D34" s="31" t="str">
        <f>IF(ISBLANK(B34),"",VLOOKUP(B34,Entries!$A$4:$C$65,3,FALSE))</f>
        <v>East Essex Tri Women</v>
      </c>
      <c r="E34" s="30">
        <f t="shared" si="0"/>
        <v>32</v>
      </c>
      <c r="F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G34" s="30">
        <v>32</v>
      </c>
      <c r="H34" s="30">
        <v>16</v>
      </c>
      <c r="I34" s="31" t="s">
        <v>143</v>
      </c>
      <c r="J34" s="30">
        <v>49</v>
      </c>
      <c r="K34" s="35"/>
      <c r="AA34" s="24">
        <v>49</v>
      </c>
      <c r="AB34" s="25">
        <v>16</v>
      </c>
      <c r="AC34" s="25" t="s">
        <v>3</v>
      </c>
      <c r="AD34" s="38" t="s">
        <v>143</v>
      </c>
      <c r="AE34" s="25">
        <v>49</v>
      </c>
    </row>
    <row r="35" spans="1:31" ht="15">
      <c r="A35" s="30">
        <v>33</v>
      </c>
      <c r="B35" s="30">
        <v>39</v>
      </c>
      <c r="C35" s="30" t="str">
        <f>IF(ISBLANK(B35),"",VLOOKUP(B35,Entries!$A$4:$C$65,2,FALSE))</f>
        <v>A</v>
      </c>
      <c r="D35" s="31" t="str">
        <f>IF(ISBLANK(B35),"",VLOOKUP(B35,Entries!$A$4:$C$65,3,FALSE))</f>
        <v>Springfield Striders Mixed D</v>
      </c>
      <c r="E35" s="30">
        <f t="shared" si="0"/>
        <v>33</v>
      </c>
      <c r="F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G35" s="30">
        <v>33</v>
      </c>
      <c r="H35" s="30">
        <v>22</v>
      </c>
      <c r="I35" s="31" t="s">
        <v>152</v>
      </c>
      <c r="J35" s="30">
        <v>50</v>
      </c>
      <c r="K35" s="35"/>
      <c r="AA35" s="24">
        <v>50</v>
      </c>
      <c r="AB35" s="25">
        <v>22</v>
      </c>
      <c r="AC35" s="25" t="s">
        <v>3</v>
      </c>
      <c r="AD35" s="38" t="s">
        <v>152</v>
      </c>
      <c r="AE35" s="25">
        <v>50</v>
      </c>
    </row>
    <row r="36" spans="1:31" ht="15">
      <c r="A36" s="30">
        <v>34</v>
      </c>
      <c r="B36" s="30">
        <v>10</v>
      </c>
      <c r="C36" s="30" t="str">
        <f>IF(ISBLANK(B36),"",VLOOKUP(B36,Entries!$A$4:$C$65,2,FALSE))</f>
        <v>A</v>
      </c>
      <c r="D36" s="31" t="str">
        <f>IF(ISBLANK(B36),"",VLOOKUP(B36,Entries!$A$4:$C$65,3,FALSE))</f>
        <v>Colchester Harriers - Colchester Allsorts</v>
      </c>
      <c r="E36" s="30">
        <f aca="true" t="shared" si="1" ref="E36:E55">IF(ISBLANK(B36),"",A36)</f>
        <v>34</v>
      </c>
      <c r="F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G36" s="30">
        <v>34</v>
      </c>
      <c r="H36" s="30">
        <v>40</v>
      </c>
      <c r="I36" s="31" t="s">
        <v>173</v>
      </c>
      <c r="J36" s="30">
        <v>52</v>
      </c>
      <c r="K36" s="35"/>
      <c r="AA36" s="24">
        <v>52</v>
      </c>
      <c r="AB36" s="25">
        <v>40</v>
      </c>
      <c r="AC36" s="25" t="s">
        <v>3</v>
      </c>
      <c r="AD36" s="38" t="s">
        <v>173</v>
      </c>
      <c r="AE36" s="25">
        <v>52</v>
      </c>
    </row>
    <row r="37" spans="1:31" ht="15">
      <c r="A37" s="30">
        <v>35</v>
      </c>
      <c r="B37" s="30">
        <v>14</v>
      </c>
      <c r="C37" s="30" t="str">
        <f>IF(ISBLANK(B37),"",VLOOKUP(B37,Entries!$A$4:$C$65,2,FALSE))</f>
        <v>A</v>
      </c>
      <c r="D37" s="31" t="str">
        <f>IF(ISBLANK(B37),"",VLOOKUP(B37,Entries!$A$4:$C$65,3,FALSE))</f>
        <v>Mid Essex Casuals C</v>
      </c>
      <c r="E37" s="30">
        <f t="shared" si="1"/>
        <v>35</v>
      </c>
      <c r="F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G37" s="30">
        <v>35</v>
      </c>
      <c r="H37" s="30">
        <v>27</v>
      </c>
      <c r="I37" s="31" t="s">
        <v>97</v>
      </c>
      <c r="J37" s="30">
        <v>54</v>
      </c>
      <c r="K37" s="35"/>
      <c r="AA37" s="24">
        <v>54</v>
      </c>
      <c r="AB37" s="25">
        <v>27</v>
      </c>
      <c r="AC37" s="25" t="s">
        <v>3</v>
      </c>
      <c r="AD37" s="38" t="s">
        <v>97</v>
      </c>
      <c r="AE37" s="25">
        <v>54</v>
      </c>
    </row>
    <row r="38" spans="1:31" ht="15">
      <c r="A38" s="30">
        <v>36</v>
      </c>
      <c r="B38" s="30">
        <v>11</v>
      </c>
      <c r="C38" s="30" t="str">
        <f>IF(ISBLANK(B38),"",VLOOKUP(B38,Entries!$A$4:$C$65,2,FALSE))</f>
        <v>A</v>
      </c>
      <c r="D38" s="31" t="str">
        <f>IF(ISBLANK(B38),"",VLOOKUP(B38,Entries!$A$4:$C$65,3,FALSE))</f>
        <v>Billericay Striders</v>
      </c>
      <c r="E38" s="30">
        <f t="shared" si="1"/>
        <v>36</v>
      </c>
      <c r="F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G38" s="30">
        <v>36</v>
      </c>
      <c r="H38" s="30">
        <v>3</v>
      </c>
      <c r="I38" s="31" t="s">
        <v>120</v>
      </c>
      <c r="J38" s="30">
        <v>55</v>
      </c>
      <c r="K38" s="35"/>
      <c r="AA38" s="24">
        <v>55</v>
      </c>
      <c r="AB38" s="25">
        <v>3</v>
      </c>
      <c r="AC38" s="25" t="s">
        <v>3</v>
      </c>
      <c r="AD38" s="38" t="s">
        <v>120</v>
      </c>
      <c r="AE38" s="25">
        <v>55</v>
      </c>
    </row>
    <row r="39" spans="1:31" ht="15">
      <c r="A39" s="30">
        <v>37</v>
      </c>
      <c r="B39" s="30">
        <v>20</v>
      </c>
      <c r="C39" s="30" t="str">
        <f>IF(ISBLANK(B39),"",VLOOKUP(B39,Entries!$A$4:$C$65,2,FALSE))</f>
        <v>A</v>
      </c>
      <c r="D39" s="31" t="str">
        <f>IF(ISBLANK(B39),"",VLOOKUP(B39,Entries!$A$4:$C$65,3,FALSE))</f>
        <v>BSRC</v>
      </c>
      <c r="E39" s="30">
        <f t="shared" si="1"/>
        <v>37</v>
      </c>
      <c r="F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G39" s="30">
        <v>37</v>
      </c>
      <c r="H39" s="30">
        <v>1</v>
      </c>
      <c r="I39" s="31" t="s">
        <v>117</v>
      </c>
      <c r="J39" s="30">
        <v>56</v>
      </c>
      <c r="K39" s="35"/>
      <c r="AA39" s="24">
        <v>56</v>
      </c>
      <c r="AB39" s="25">
        <v>1</v>
      </c>
      <c r="AC39" s="25" t="s">
        <v>3</v>
      </c>
      <c r="AD39" s="38" t="s">
        <v>117</v>
      </c>
      <c r="AE39" s="25">
        <v>56</v>
      </c>
    </row>
    <row r="40" spans="1:31" ht="15">
      <c r="A40" s="30">
        <v>38</v>
      </c>
      <c r="B40" s="30">
        <v>69</v>
      </c>
      <c r="C40" s="30" t="str">
        <f>IF(ISBLANK(B40),"",VLOOKUP(B40,Entries!$A$4:$C$65,2,FALSE))</f>
        <v>L</v>
      </c>
      <c r="D40" s="31" t="str">
        <f>IF(ISBLANK(B40),"",VLOOKUP(B40,Entries!$A$4:$C$65,3,FALSE))</f>
        <v>Southend Ladies</v>
      </c>
      <c r="E40" s="30">
        <f t="shared" si="1"/>
        <v>38</v>
      </c>
      <c r="F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G40" s="30">
        <v>38</v>
      </c>
      <c r="H40" s="30">
        <v>41</v>
      </c>
      <c r="I40" s="31" t="s">
        <v>176</v>
      </c>
      <c r="J40" s="30">
        <v>57</v>
      </c>
      <c r="K40" s="35"/>
      <c r="AA40" s="24">
        <v>57</v>
      </c>
      <c r="AB40" s="25">
        <v>41</v>
      </c>
      <c r="AC40" s="25" t="s">
        <v>3</v>
      </c>
      <c r="AD40" s="38" t="s">
        <v>176</v>
      </c>
      <c r="AE40" s="25">
        <v>57</v>
      </c>
    </row>
    <row r="41" spans="1:31" ht="15">
      <c r="A41" s="30">
        <v>39</v>
      </c>
      <c r="B41" s="30">
        <v>12</v>
      </c>
      <c r="C41" s="30" t="str">
        <f>IF(ISBLANK(B41),"",VLOOKUP(B41,Entries!$A$4:$C$65,2,FALSE))</f>
        <v>V</v>
      </c>
      <c r="D41" s="31" t="str">
        <f>IF(ISBLANK(B41),"",VLOOKUP(B41,Entries!$A$4:$C$65,3,FALSE))</f>
        <v>Mid Essex Casuals A</v>
      </c>
      <c r="E41" s="30">
        <f t="shared" si="1"/>
        <v>39</v>
      </c>
      <c r="F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G41" s="30">
        <v>39</v>
      </c>
      <c r="H41" s="30">
        <v>8</v>
      </c>
      <c r="I41" s="31" t="s">
        <v>132</v>
      </c>
      <c r="J41" s="30">
        <v>100</v>
      </c>
      <c r="K41" s="35"/>
      <c r="AA41" s="24">
        <v>100</v>
      </c>
      <c r="AB41" s="25">
        <v>8</v>
      </c>
      <c r="AC41" s="25" t="s">
        <v>3</v>
      </c>
      <c r="AD41" s="38" t="s">
        <v>132</v>
      </c>
      <c r="AE41" s="25">
        <v>100</v>
      </c>
    </row>
    <row r="42" spans="1:31" ht="15">
      <c r="A42" s="30">
        <v>40</v>
      </c>
      <c r="B42" s="30">
        <v>58</v>
      </c>
      <c r="C42" s="30" t="str">
        <f>IF(ISBLANK(B42),"",VLOOKUP(B42,Entries!$A$4:$C$65,2,FALSE))</f>
        <v>L</v>
      </c>
      <c r="D42" s="31" t="str">
        <f>IF(ISBLANK(B42),"",VLOOKUP(B42,Entries!$A$4:$C$65,3,FALSE))</f>
        <v>Springfield Striders Ladies B</v>
      </c>
      <c r="E42" s="30">
        <f t="shared" si="1"/>
        <v>40</v>
      </c>
      <c r="F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G42" s="44">
        <v>40</v>
      </c>
      <c r="H42" s="44">
        <v>15</v>
      </c>
      <c r="I42" s="45" t="s">
        <v>142</v>
      </c>
      <c r="J42" s="44">
        <v>100</v>
      </c>
      <c r="K42" s="35"/>
      <c r="AA42" s="24">
        <v>100</v>
      </c>
      <c r="AB42" s="25">
        <v>15</v>
      </c>
      <c r="AC42" s="25" t="s">
        <v>3</v>
      </c>
      <c r="AD42" s="38" t="s">
        <v>142</v>
      </c>
      <c r="AE42" s="25">
        <v>100</v>
      </c>
    </row>
    <row r="43" spans="1:31" ht="15">
      <c r="A43" s="30">
        <v>41</v>
      </c>
      <c r="B43" s="30">
        <v>65</v>
      </c>
      <c r="C43" s="30" t="str">
        <f>IF(ISBLANK(B43),"",VLOOKUP(B43,Entries!$A$4:$C$65,2,FALSE))</f>
        <v>L</v>
      </c>
      <c r="D43" s="31" t="str">
        <f>IF(ISBLANK(B43),"",VLOOKUP(B43,Entries!$A$4:$C$65,3,FALSE))</f>
        <v>Benfleet Ladies B</v>
      </c>
      <c r="E43" s="30">
        <f t="shared" si="1"/>
        <v>41</v>
      </c>
      <c r="F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G43" s="59"/>
      <c r="H43" s="78"/>
      <c r="I43" s="79"/>
      <c r="J43" s="80"/>
      <c r="K43" s="35"/>
      <c r="AA43" s="24">
        <v>16</v>
      </c>
      <c r="AB43" s="25">
        <v>59</v>
      </c>
      <c r="AC43" s="25" t="s">
        <v>0</v>
      </c>
      <c r="AD43" s="38" t="s">
        <v>183</v>
      </c>
      <c r="AE43" s="25">
        <v>16</v>
      </c>
    </row>
    <row r="44" spans="1:31" ht="15">
      <c r="A44" s="30">
        <v>42</v>
      </c>
      <c r="B44" s="30">
        <v>63</v>
      </c>
      <c r="C44" s="30" t="str">
        <f>IF(ISBLANK(B44),"",VLOOKUP(B44,Entries!$A$4:$C$65,2,FALSE))</f>
        <v>L</v>
      </c>
      <c r="D44" s="31" t="str">
        <f>IF(ISBLANK(B44),"",VLOOKUP(B44,Entries!$A$4:$C$65,3,FALSE))</f>
        <v>Billericay Striders</v>
      </c>
      <c r="E44" s="30">
        <f t="shared" si="1"/>
        <v>42</v>
      </c>
      <c r="F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G44" s="81" t="s">
        <v>206</v>
      </c>
      <c r="H44" s="48"/>
      <c r="I44" s="47"/>
      <c r="J44" s="48" t="s">
        <v>73</v>
      </c>
      <c r="K44" s="35"/>
      <c r="AA44" s="24">
        <v>17</v>
      </c>
      <c r="AB44" s="25">
        <v>64</v>
      </c>
      <c r="AC44" s="25" t="s">
        <v>0</v>
      </c>
      <c r="AD44" s="38" t="s">
        <v>191</v>
      </c>
      <c r="AE44" s="25">
        <v>17</v>
      </c>
    </row>
    <row r="45" spans="1:31" ht="15">
      <c r="A45" s="30">
        <v>43</v>
      </c>
      <c r="B45" s="30">
        <v>67</v>
      </c>
      <c r="C45" s="30" t="str">
        <f>IF(ISBLANK(B45),"",VLOOKUP(B45,Entries!$A$4:$C$65,2,FALSE))</f>
        <v>L</v>
      </c>
      <c r="D45" s="31" t="str">
        <f>IF(ISBLANK(B45),"",VLOOKUP(B45,Entries!$A$4:$C$65,3,FALSE))</f>
        <v>TGT Ladies B</v>
      </c>
      <c r="E45" s="30">
        <f t="shared" si="1"/>
        <v>43</v>
      </c>
      <c r="F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G45" s="30">
        <v>1</v>
      </c>
      <c r="H45" s="30">
        <v>59</v>
      </c>
      <c r="I45" s="31" t="s">
        <v>183</v>
      </c>
      <c r="J45" s="30">
        <v>16</v>
      </c>
      <c r="K45" s="35"/>
      <c r="AA45" s="24">
        <v>29</v>
      </c>
      <c r="AB45" s="25">
        <v>62</v>
      </c>
      <c r="AC45" s="25" t="s">
        <v>0</v>
      </c>
      <c r="AD45" s="38" t="s">
        <v>188</v>
      </c>
      <c r="AE45" s="25">
        <v>29</v>
      </c>
    </row>
    <row r="46" spans="1:31" ht="15">
      <c r="A46" s="30">
        <v>44</v>
      </c>
      <c r="B46" s="30">
        <v>29</v>
      </c>
      <c r="C46" s="30" t="str">
        <f>IF(ISBLANK(B46),"",VLOOKUP(B46,Entries!$A$4:$C$65,2,FALSE))</f>
        <v>A</v>
      </c>
      <c r="D46" s="31" t="str">
        <f>IF(ISBLANK(B46),"",VLOOKUP(B46,Entries!$A$4:$C$65,3,FALSE))</f>
        <v>Ilford B</v>
      </c>
      <c r="E46" s="30">
        <f t="shared" si="1"/>
        <v>44</v>
      </c>
      <c r="F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G46" s="30">
        <v>2</v>
      </c>
      <c r="H46" s="30">
        <v>64</v>
      </c>
      <c r="I46" s="31" t="s">
        <v>191</v>
      </c>
      <c r="J46" s="30">
        <v>17</v>
      </c>
      <c r="K46" s="35"/>
      <c r="AA46" s="24">
        <v>30</v>
      </c>
      <c r="AB46" s="25">
        <v>66</v>
      </c>
      <c r="AC46" s="25" t="s">
        <v>0</v>
      </c>
      <c r="AD46" s="38" t="s">
        <v>193</v>
      </c>
      <c r="AE46" s="25">
        <v>30</v>
      </c>
    </row>
    <row r="47" spans="1:31" ht="15">
      <c r="A47" s="30">
        <v>45</v>
      </c>
      <c r="B47" s="30">
        <v>2</v>
      </c>
      <c r="C47" s="30" t="str">
        <f>IF(ISBLANK(B47),"",VLOOKUP(B47,Entries!$A$4:$C$65,2,FALSE))</f>
        <v>A</v>
      </c>
      <c r="D47" s="31" t="str">
        <f>IF(ISBLANK(B47),"",VLOOKUP(B47,Entries!$A$4:$C$65,3,FALSE))</f>
        <v>Thurrock Nomads A</v>
      </c>
      <c r="E47" s="30">
        <f t="shared" si="1"/>
        <v>45</v>
      </c>
      <c r="F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G47" s="30">
        <v>3</v>
      </c>
      <c r="H47" s="30">
        <v>62</v>
      </c>
      <c r="I47" s="31" t="s">
        <v>188</v>
      </c>
      <c r="J47" s="30">
        <v>29</v>
      </c>
      <c r="K47" s="35"/>
      <c r="AA47" s="24">
        <v>32</v>
      </c>
      <c r="AB47" s="25">
        <v>61</v>
      </c>
      <c r="AC47" s="25" t="s">
        <v>0</v>
      </c>
      <c r="AD47" s="38" t="s">
        <v>187</v>
      </c>
      <c r="AE47" s="25">
        <v>32</v>
      </c>
    </row>
    <row r="48" spans="1:31" ht="15">
      <c r="A48" s="30">
        <v>46</v>
      </c>
      <c r="B48" s="30">
        <v>60</v>
      </c>
      <c r="C48" s="30" t="str">
        <f>IF(ISBLANK(B48),"",VLOOKUP(B48,Entries!$A$4:$C$65,2,FALSE))</f>
        <v>L</v>
      </c>
      <c r="D48" s="31" t="str">
        <f>IF(ISBLANK(B48),"",VLOOKUP(B48,Entries!$A$4:$C$65,3,FALSE))</f>
        <v>Tiptree Ladies</v>
      </c>
      <c r="E48" s="30">
        <f t="shared" si="1"/>
        <v>46</v>
      </c>
      <c r="F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G48" s="30">
        <v>4</v>
      </c>
      <c r="H48" s="30">
        <v>66</v>
      </c>
      <c r="I48" s="31" t="s">
        <v>193</v>
      </c>
      <c r="J48" s="30">
        <v>30</v>
      </c>
      <c r="K48" s="35"/>
      <c r="AA48" s="24">
        <v>38</v>
      </c>
      <c r="AB48" s="25">
        <v>69</v>
      </c>
      <c r="AC48" s="25" t="s">
        <v>0</v>
      </c>
      <c r="AD48" s="38" t="s">
        <v>198</v>
      </c>
      <c r="AE48" s="25">
        <v>38</v>
      </c>
    </row>
    <row r="49" spans="1:31" ht="15">
      <c r="A49" s="30">
        <v>47</v>
      </c>
      <c r="B49" s="30">
        <v>57</v>
      </c>
      <c r="C49" s="30" t="str">
        <f>IF(ISBLANK(B49),"",VLOOKUP(B49,Entries!$A$4:$C$65,2,FALSE))</f>
        <v>L</v>
      </c>
      <c r="D49" s="31" t="str">
        <f>IF(ISBLANK(B49),"",VLOOKUP(B49,Entries!$A$4:$C$65,3,FALSE))</f>
        <v>Springfield Striders Ladies A</v>
      </c>
      <c r="E49" s="30">
        <f t="shared" si="1"/>
        <v>47</v>
      </c>
      <c r="F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G49" s="30">
        <v>5</v>
      </c>
      <c r="H49" s="30">
        <v>61</v>
      </c>
      <c r="I49" s="31" t="s">
        <v>187</v>
      </c>
      <c r="J49" s="30">
        <v>32</v>
      </c>
      <c r="K49" s="35"/>
      <c r="AA49" s="24">
        <v>40</v>
      </c>
      <c r="AB49" s="25">
        <v>58</v>
      </c>
      <c r="AC49" s="25" t="s">
        <v>0</v>
      </c>
      <c r="AD49" s="38" t="s">
        <v>182</v>
      </c>
      <c r="AE49" s="25">
        <v>40</v>
      </c>
    </row>
    <row r="50" spans="1:31" ht="15">
      <c r="A50" s="30">
        <v>48</v>
      </c>
      <c r="B50" s="30">
        <v>6</v>
      </c>
      <c r="C50" s="30" t="str">
        <f>IF(ISBLANK(B50),"",VLOOKUP(B50,Entries!$A$4:$C$65,2,FALSE))</f>
        <v>A</v>
      </c>
      <c r="D50" s="31" t="str">
        <f>IF(ISBLANK(B50),"",VLOOKUP(B50,Entries!$A$4:$C$65,3,FALSE))</f>
        <v>Thurrock Nomads B - The Z list</v>
      </c>
      <c r="E50" s="30">
        <f t="shared" si="1"/>
        <v>48</v>
      </c>
      <c r="F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G50" s="30">
        <v>6</v>
      </c>
      <c r="H50" s="30">
        <v>69</v>
      </c>
      <c r="I50" s="31" t="s">
        <v>198</v>
      </c>
      <c r="J50" s="30">
        <v>38</v>
      </c>
      <c r="K50" s="35"/>
      <c r="AA50" s="24">
        <v>41</v>
      </c>
      <c r="AB50" s="25">
        <v>65</v>
      </c>
      <c r="AC50" s="25" t="s">
        <v>0</v>
      </c>
      <c r="AD50" s="38" t="s">
        <v>192</v>
      </c>
      <c r="AE50" s="25">
        <v>41</v>
      </c>
    </row>
    <row r="51" spans="1:31" ht="15">
      <c r="A51" s="30">
        <v>49</v>
      </c>
      <c r="B51" s="30">
        <v>16</v>
      </c>
      <c r="C51" s="30" t="str">
        <f>IF(ISBLANK(B51),"",VLOOKUP(B51,Entries!$A$4:$C$65,2,FALSE))</f>
        <v>A</v>
      </c>
      <c r="D51" s="31" t="str">
        <f>IF(ISBLANK(B51),"",VLOOKUP(B51,Entries!$A$4:$C$65,3,FALSE))</f>
        <v>Havering 90 B</v>
      </c>
      <c r="E51" s="30">
        <f t="shared" si="1"/>
        <v>49</v>
      </c>
      <c r="F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G51" s="30">
        <v>7</v>
      </c>
      <c r="H51" s="30">
        <v>58</v>
      </c>
      <c r="I51" s="31" t="s">
        <v>182</v>
      </c>
      <c r="J51" s="30">
        <v>40</v>
      </c>
      <c r="K51" s="35"/>
      <c r="AA51" s="24">
        <v>42</v>
      </c>
      <c r="AB51" s="25">
        <v>63</v>
      </c>
      <c r="AC51" s="25" t="s">
        <v>0</v>
      </c>
      <c r="AD51" s="38" t="s">
        <v>65</v>
      </c>
      <c r="AE51" s="25">
        <v>42</v>
      </c>
    </row>
    <row r="52" spans="1:31" ht="15">
      <c r="A52" s="30">
        <v>50</v>
      </c>
      <c r="B52" s="30">
        <v>22</v>
      </c>
      <c r="C52" s="30" t="str">
        <f>IF(ISBLANK(B52),"",VLOOKUP(B52,Entries!$A$4:$C$65,2,FALSE))</f>
        <v>A</v>
      </c>
      <c r="D52" s="31" t="str">
        <f>IF(ISBLANK(B52),"",VLOOKUP(B52,Entries!$A$4:$C$65,3,FALSE))</f>
        <v>TGT Men B</v>
      </c>
      <c r="E52" s="30">
        <f t="shared" si="1"/>
        <v>50</v>
      </c>
      <c r="F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G52" s="30">
        <v>8</v>
      </c>
      <c r="H52" s="30">
        <v>65</v>
      </c>
      <c r="I52" s="31" t="s">
        <v>192</v>
      </c>
      <c r="J52" s="30">
        <v>41</v>
      </c>
      <c r="K52" s="35"/>
      <c r="AA52" s="24">
        <v>43</v>
      </c>
      <c r="AB52" s="25">
        <v>67</v>
      </c>
      <c r="AC52" s="25" t="s">
        <v>0</v>
      </c>
      <c r="AD52" s="38" t="s">
        <v>196</v>
      </c>
      <c r="AE52" s="25">
        <v>43</v>
      </c>
    </row>
    <row r="53" spans="1:31" ht="15">
      <c r="A53" s="30">
        <v>51</v>
      </c>
      <c r="B53" s="30">
        <v>68</v>
      </c>
      <c r="C53" s="30" t="str">
        <f>IF(ISBLANK(B53),"",VLOOKUP(B53,Entries!$A$4:$C$65,2,FALSE))</f>
        <v>L</v>
      </c>
      <c r="D53" s="31" t="str">
        <f>IF(ISBLANK(B53),"",VLOOKUP(B53,Entries!$A$4:$C$65,3,FALSE))</f>
        <v>Pitsea RC Ladies</v>
      </c>
      <c r="E53" s="30">
        <f t="shared" si="1"/>
        <v>51</v>
      </c>
      <c r="F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G53" s="30">
        <v>9</v>
      </c>
      <c r="H53" s="30">
        <v>63</v>
      </c>
      <c r="I53" s="31" t="s">
        <v>65</v>
      </c>
      <c r="J53" s="30">
        <v>42</v>
      </c>
      <c r="K53" s="35"/>
      <c r="AA53" s="24">
        <v>46</v>
      </c>
      <c r="AB53" s="25">
        <v>60</v>
      </c>
      <c r="AC53" s="25" t="s">
        <v>0</v>
      </c>
      <c r="AD53" s="38" t="s">
        <v>184</v>
      </c>
      <c r="AE53" s="25">
        <v>46</v>
      </c>
    </row>
    <row r="54" spans="1:31" ht="15">
      <c r="A54" s="30">
        <v>52</v>
      </c>
      <c r="B54" s="30">
        <v>40</v>
      </c>
      <c r="C54" s="30" t="str">
        <f>IF(ISBLANK(B54),"",VLOOKUP(B54,Entries!$A$4:$C$65,2,FALSE))</f>
        <v>A</v>
      </c>
      <c r="D54" s="31" t="str">
        <f>IF(ISBLANK(B54),"",VLOOKUP(B54,Entries!$A$4:$C$65,3,FALSE))</f>
        <v>Pitsea RC Men </v>
      </c>
      <c r="E54" s="30">
        <f t="shared" si="1"/>
        <v>52</v>
      </c>
      <c r="F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G54" s="30">
        <v>10</v>
      </c>
      <c r="H54" s="30">
        <v>67</v>
      </c>
      <c r="I54" s="31" t="s">
        <v>196</v>
      </c>
      <c r="J54" s="30">
        <v>43</v>
      </c>
      <c r="K54" s="35"/>
      <c r="AA54" s="24">
        <v>47</v>
      </c>
      <c r="AB54" s="25">
        <v>57</v>
      </c>
      <c r="AC54" s="25" t="s">
        <v>0</v>
      </c>
      <c r="AD54" s="38" t="s">
        <v>181</v>
      </c>
      <c r="AE54" s="25">
        <v>47</v>
      </c>
    </row>
    <row r="55" spans="1:31" ht="15">
      <c r="A55" s="30">
        <v>53</v>
      </c>
      <c r="B55" s="30">
        <v>70</v>
      </c>
      <c r="C55" s="30" t="str">
        <f>IF(ISBLANK(B55),"",VLOOKUP(B55,Entries!$A$4:$C$65,2,FALSE))</f>
        <v>L</v>
      </c>
      <c r="D55" s="31" t="str">
        <f>IF(ISBLANK(B55),"",VLOOKUP(B55,Entries!$A$4:$C$65,3,FALSE))</f>
        <v>Harwich Runners Ladies</v>
      </c>
      <c r="E55" s="30">
        <f t="shared" si="1"/>
        <v>53</v>
      </c>
      <c r="F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G55" s="30">
        <v>11</v>
      </c>
      <c r="H55" s="30">
        <v>60</v>
      </c>
      <c r="I55" s="31" t="s">
        <v>184</v>
      </c>
      <c r="J55" s="30">
        <v>46</v>
      </c>
      <c r="K55" s="35"/>
      <c r="AA55" s="24">
        <v>51</v>
      </c>
      <c r="AB55" s="25">
        <v>68</v>
      </c>
      <c r="AC55" s="25" t="s">
        <v>0</v>
      </c>
      <c r="AD55" s="38" t="s">
        <v>197</v>
      </c>
      <c r="AE55" s="25">
        <v>51</v>
      </c>
    </row>
    <row r="56" spans="1:31" ht="15">
      <c r="A56" s="30">
        <v>54</v>
      </c>
      <c r="B56" s="30">
        <v>27</v>
      </c>
      <c r="C56" s="30" t="str">
        <f>IF(ISBLANK(B56),"",VLOOKUP(B56,Entries!$A$4:$C$65,2,FALSE))</f>
        <v>A</v>
      </c>
      <c r="D56" s="31" t="str">
        <f>IF(ISBLANK(B56),"",VLOOKUP(B56,Entries!$A$4:$C$65,3,FALSE))</f>
        <v>Harwich Runners Mixed</v>
      </c>
      <c r="E56" s="30">
        <f aca="true" t="shared" si="2" ref="E56:E61">IF(ISBLANK(B56),"",A56)</f>
        <v>54</v>
      </c>
      <c r="F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G56" s="30">
        <v>12</v>
      </c>
      <c r="H56" s="30">
        <v>57</v>
      </c>
      <c r="I56" s="31" t="s">
        <v>181</v>
      </c>
      <c r="J56" s="30">
        <v>47</v>
      </c>
      <c r="K56" s="35"/>
      <c r="AA56" s="24">
        <v>53</v>
      </c>
      <c r="AB56" s="25">
        <v>70</v>
      </c>
      <c r="AC56" s="25" t="s">
        <v>0</v>
      </c>
      <c r="AD56" s="38" t="s">
        <v>199</v>
      </c>
      <c r="AE56" s="25">
        <v>53</v>
      </c>
    </row>
    <row r="57" spans="1:31" ht="15">
      <c r="A57" s="30">
        <v>55</v>
      </c>
      <c r="B57" s="30">
        <v>3</v>
      </c>
      <c r="C57" s="30" t="str">
        <f>IF(ISBLANK(B57),"",VLOOKUP(B57,Entries!$A$4:$C$65,2,FALSE))</f>
        <v>A</v>
      </c>
      <c r="D57" s="31" t="str">
        <f>IF(ISBLANK(B57),"",VLOOKUP(B57,Entries!$A$4:$C$65,3,FALSE))</f>
        <v>Tiptree A</v>
      </c>
      <c r="E57" s="30">
        <f t="shared" si="2"/>
        <v>55</v>
      </c>
      <c r="F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G57" s="30">
        <v>13</v>
      </c>
      <c r="H57" s="30">
        <v>68</v>
      </c>
      <c r="I57" s="31" t="s">
        <v>197</v>
      </c>
      <c r="J57" s="30">
        <v>51</v>
      </c>
      <c r="K57" s="35"/>
      <c r="AA57" s="24">
        <v>7</v>
      </c>
      <c r="AB57" s="25">
        <v>53</v>
      </c>
      <c r="AC57" s="25" t="s">
        <v>2</v>
      </c>
      <c r="AD57" s="38" t="s">
        <v>87</v>
      </c>
      <c r="AE57" s="25">
        <v>7</v>
      </c>
    </row>
    <row r="58" spans="1:31" ht="15">
      <c r="A58" s="30">
        <v>56</v>
      </c>
      <c r="B58" s="30">
        <v>1</v>
      </c>
      <c r="C58" s="30" t="str">
        <f>IF(ISBLANK(B58),"",VLOOKUP(B58,Entries!$A$4:$C$65,2,FALSE))</f>
        <v>A</v>
      </c>
      <c r="D58" s="31" t="str">
        <f>IF(ISBLANK(B58),"",VLOOKUP(B58,Entries!$A$4:$C$65,3,FALSE))</f>
        <v>Eton Manor AC</v>
      </c>
      <c r="E58" s="30">
        <f t="shared" si="2"/>
        <v>56</v>
      </c>
      <c r="F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G58" s="44">
        <v>14</v>
      </c>
      <c r="H58" s="44">
        <v>70</v>
      </c>
      <c r="I58" s="45" t="s">
        <v>199</v>
      </c>
      <c r="J58" s="44">
        <v>53</v>
      </c>
      <c r="K58" s="35"/>
      <c r="AA58" s="24">
        <v>20</v>
      </c>
      <c r="AB58" s="25">
        <v>50</v>
      </c>
      <c r="AC58" s="25" t="s">
        <v>2</v>
      </c>
      <c r="AD58" s="38" t="s">
        <v>44</v>
      </c>
      <c r="AE58" s="25">
        <v>20</v>
      </c>
    </row>
    <row r="59" spans="1:31" ht="15">
      <c r="A59" s="30">
        <v>57</v>
      </c>
      <c r="B59" s="30">
        <v>41</v>
      </c>
      <c r="C59" s="30" t="str">
        <f>IF(ISBLANK(B59),"",VLOOKUP(B59,Entries!$A$4:$C$65,2,FALSE))</f>
        <v>A</v>
      </c>
      <c r="D59" s="31" t="str">
        <f>IF(ISBLANK(B59),"",VLOOKUP(B59,Entries!$A$4:$C$65,3,FALSE))</f>
        <v>Pitsea RC Mixed</v>
      </c>
      <c r="E59" s="30">
        <f t="shared" si="2"/>
        <v>57</v>
      </c>
      <c r="F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G59" s="59"/>
      <c r="H59" s="78"/>
      <c r="I59" s="79"/>
      <c r="J59" s="80"/>
      <c r="K59" s="35"/>
      <c r="AA59" s="24">
        <v>23</v>
      </c>
      <c r="AB59" s="25">
        <v>51</v>
      </c>
      <c r="AC59" s="25" t="s">
        <v>2</v>
      </c>
      <c r="AD59" s="38" t="s">
        <v>178</v>
      </c>
      <c r="AE59" s="25">
        <v>23</v>
      </c>
    </row>
    <row r="60" spans="1:31" ht="15">
      <c r="A60" s="30">
        <v>100</v>
      </c>
      <c r="B60" s="30">
        <v>8</v>
      </c>
      <c r="C60" s="30" t="str">
        <f>IF(ISBLANK(B60),"",VLOOKUP(B60,Entries!$A$4:$C$65,2,FALSE))</f>
        <v>A</v>
      </c>
      <c r="D60" s="31" t="str">
        <f>IF(ISBLANK(B60),"",VLOOKUP(B60,Entries!$A$4:$C$65,3,FALSE))</f>
        <v>East Essex Tri Men</v>
      </c>
      <c r="E60" s="30">
        <f t="shared" si="2"/>
        <v>100</v>
      </c>
      <c r="F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G60" s="81" t="s">
        <v>207</v>
      </c>
      <c r="H60" s="48"/>
      <c r="I60" s="47"/>
      <c r="J60" s="48" t="s">
        <v>73</v>
      </c>
      <c r="K60" s="35"/>
      <c r="AA60" s="24">
        <v>31</v>
      </c>
      <c r="AB60" s="25">
        <v>52</v>
      </c>
      <c r="AC60" s="25" t="s">
        <v>2</v>
      </c>
      <c r="AD60" s="38" t="s">
        <v>179</v>
      </c>
      <c r="AE60" s="25">
        <v>31</v>
      </c>
    </row>
    <row r="61" spans="1:31" ht="15">
      <c r="A61" s="30">
        <v>100</v>
      </c>
      <c r="B61" s="30">
        <v>15</v>
      </c>
      <c r="C61" s="30" t="str">
        <f>IF(ISBLANK(B61),"",VLOOKUP(B61,Entries!$A$4:$C$65,2,FALSE))</f>
        <v>A</v>
      </c>
      <c r="D61" s="31" t="str">
        <f>IF(ISBLANK(B61),"",VLOOKUP(B61,Entries!$A$4:$C$65,3,FALSE))</f>
        <v>Havering 90 A</v>
      </c>
      <c r="E61" s="30">
        <f t="shared" si="2"/>
        <v>100</v>
      </c>
      <c r="F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G61" s="30">
        <v>1</v>
      </c>
      <c r="H61" s="30">
        <v>53</v>
      </c>
      <c r="I61" s="31" t="s">
        <v>87</v>
      </c>
      <c r="J61" s="30">
        <v>7</v>
      </c>
      <c r="K61" s="35"/>
      <c r="AA61" s="24">
        <v>39</v>
      </c>
      <c r="AB61" s="25">
        <v>12</v>
      </c>
      <c r="AC61" s="25" t="s">
        <v>2</v>
      </c>
      <c r="AD61" s="38" t="s">
        <v>84</v>
      </c>
      <c r="AE61" s="25">
        <v>39</v>
      </c>
    </row>
    <row r="62" spans="7:11" ht="15">
      <c r="G62" s="30">
        <v>2</v>
      </c>
      <c r="H62" s="30">
        <v>50</v>
      </c>
      <c r="I62" s="31" t="s">
        <v>44</v>
      </c>
      <c r="J62" s="30">
        <v>20</v>
      </c>
      <c r="K62" s="35"/>
    </row>
    <row r="63" spans="7:11" ht="15">
      <c r="G63" s="30">
        <v>3</v>
      </c>
      <c r="H63" s="30">
        <v>51</v>
      </c>
      <c r="I63" s="31" t="s">
        <v>178</v>
      </c>
      <c r="J63" s="30">
        <v>23</v>
      </c>
      <c r="K63" s="35"/>
    </row>
    <row r="64" spans="7:11" ht="15">
      <c r="G64" s="30">
        <v>4</v>
      </c>
      <c r="H64" s="30">
        <v>52</v>
      </c>
      <c r="I64" s="31" t="s">
        <v>179</v>
      </c>
      <c r="J64" s="30">
        <v>31</v>
      </c>
      <c r="K64" s="35"/>
    </row>
    <row r="65" spans="7:11" ht="15">
      <c r="G65" s="30">
        <v>5</v>
      </c>
      <c r="H65" s="30">
        <v>12</v>
      </c>
      <c r="I65" s="31" t="s">
        <v>84</v>
      </c>
      <c r="J65" s="30">
        <v>39</v>
      </c>
      <c r="K65" s="35"/>
    </row>
    <row r="66" spans="8:11" ht="15">
      <c r="H66" s="36"/>
      <c r="I66" s="35"/>
      <c r="J66" s="36"/>
      <c r="K66" s="35"/>
    </row>
    <row r="67" spans="8:11" ht="15">
      <c r="H67" s="36"/>
      <c r="I67" s="35"/>
      <c r="J67" s="36"/>
      <c r="K67" s="35"/>
    </row>
    <row r="68" spans="8:11" ht="15">
      <c r="H68" s="36"/>
      <c r="I68" s="35"/>
      <c r="J68" s="36"/>
      <c r="K68" s="35"/>
    </row>
    <row r="69" spans="8:11" ht="15">
      <c r="H69" s="36"/>
      <c r="I69" s="35"/>
      <c r="J69" s="36"/>
      <c r="K69" s="35"/>
    </row>
    <row r="70" spans="8:11" ht="15">
      <c r="H70" s="36"/>
      <c r="I70" s="35"/>
      <c r="J70" s="36"/>
      <c r="K70" s="35"/>
    </row>
  </sheetData>
  <sheetProtection/>
  <mergeCells count="2">
    <mergeCell ref="A1:E1"/>
    <mergeCell ref="G1:J1"/>
  </mergeCells>
  <printOptions horizontalCentered="1"/>
  <pageMargins left="0.3937007874015748" right="0.3937007874015748" top="0.7086614173228347" bottom="0.1968503937007874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36" customWidth="1"/>
    <col min="8" max="9" width="6.140625" style="24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2 Results</v>
      </c>
      <c r="B1" s="76"/>
      <c r="C1" s="76"/>
      <c r="D1" s="76"/>
      <c r="E1" s="76"/>
      <c r="F1" s="76"/>
      <c r="G1" s="48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G2" s="48"/>
      <c r="H2" s="46" t="s">
        <v>205</v>
      </c>
      <c r="I2" s="47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24</v>
      </c>
      <c r="C3" s="30" t="str">
        <f>IF(ISBLANK(B3),"",VLOOKUP(B3,Entries!$A$4:$C$65,2,FALSE))</f>
        <v>A</v>
      </c>
      <c r="D3" s="31" t="str">
        <f>IF(ISBLANK(B3),"",VLOOKUP(B3,Entries!$A$4:$C$65,3,FALSE))</f>
        <v>Southend Men A</v>
      </c>
      <c r="E3" s="30">
        <f aca="true" t="shared" si="0" ref="E3:E33">IF(ISBLANK(B3),"",A3)</f>
        <v>1</v>
      </c>
      <c r="F3" s="30">
        <f>IF(ISBLANK(B3),"",VLOOKUP(B3,Overall!$B$4:$AR$75,9,FALSE))</f>
        <v>20</v>
      </c>
      <c r="H3" s="30">
        <v>1</v>
      </c>
      <c r="I3" s="30">
        <v>23</v>
      </c>
      <c r="J3" s="31" t="s">
        <v>81</v>
      </c>
      <c r="K3" s="30">
        <v>3</v>
      </c>
      <c r="AA3" s="25">
        <v>2</v>
      </c>
      <c r="AB3" s="25">
        <v>23</v>
      </c>
      <c r="AC3" s="25" t="s">
        <v>3</v>
      </c>
      <c r="AD3" s="24" t="s">
        <v>81</v>
      </c>
      <c r="AE3" s="25">
        <v>2</v>
      </c>
      <c r="AF3" s="25">
        <v>3</v>
      </c>
    </row>
    <row r="4" spans="1:32" ht="15">
      <c r="A4" s="30">
        <v>2</v>
      </c>
      <c r="B4" s="30">
        <v>23</v>
      </c>
      <c r="C4" s="30" t="str">
        <f>IF(ISBLANK(B4),"",VLOOKUP(B4,Entries!$A$4:$C$65,2,FALSE))</f>
        <v>A</v>
      </c>
      <c r="D4" s="31" t="str">
        <f>IF(ISBLANK(B4),"",VLOOKUP(B4,Entries!$A$4:$C$65,3,FALSE))</f>
        <v>Springfield Striders Men A</v>
      </c>
      <c r="E4" s="30">
        <f t="shared" si="0"/>
        <v>2</v>
      </c>
      <c r="F4" s="30">
        <f>IF(ISBLANK(B4),"",VLOOKUP(B4,Overall!$B$4:$AR$75,9,FALSE))</f>
        <v>3</v>
      </c>
      <c r="G4" s="25">
        <f>IF(ISBLANK($B3),"",IF($B4=$B3,"*",""))</f>
      </c>
      <c r="H4" s="30">
        <v>2</v>
      </c>
      <c r="I4" s="30">
        <v>9</v>
      </c>
      <c r="J4" s="31" t="s">
        <v>135</v>
      </c>
      <c r="K4" s="30">
        <v>7</v>
      </c>
      <c r="AA4" s="25">
        <v>4</v>
      </c>
      <c r="AB4" s="25">
        <v>9</v>
      </c>
      <c r="AC4" s="25" t="s">
        <v>3</v>
      </c>
      <c r="AD4" s="24" t="s">
        <v>135</v>
      </c>
      <c r="AE4" s="25">
        <v>4</v>
      </c>
      <c r="AF4" s="25">
        <v>7</v>
      </c>
    </row>
    <row r="5" spans="1:32" ht="15">
      <c r="A5" s="30">
        <v>3</v>
      </c>
      <c r="B5" s="30">
        <v>28</v>
      </c>
      <c r="C5" s="30" t="str">
        <f>IF(ISBLANK(B5),"",VLOOKUP(B5,Entries!$A$4:$C$65,2,FALSE))</f>
        <v>A</v>
      </c>
      <c r="D5" s="31" t="str">
        <f>IF(ISBLANK(B5),"",VLOOKUP(B5,Entries!$A$4:$C$65,3,FALSE))</f>
        <v>Ilford A</v>
      </c>
      <c r="E5" s="30">
        <f t="shared" si="0"/>
        <v>3</v>
      </c>
      <c r="F5" s="30">
        <f>IF(ISBLANK(B5),"",VLOOKUP(B5,Overall!$B$4:$AR$75,9,FALSE))</f>
        <v>16</v>
      </c>
      <c r="G5" s="25">
        <f>IF(ISBLANK($B4),"",IF(OR($B5=$B4,$B5=$B3),"*",""))</f>
      </c>
      <c r="H5" s="30">
        <v>3</v>
      </c>
      <c r="I5" s="30">
        <v>31</v>
      </c>
      <c r="J5" s="31" t="s">
        <v>101</v>
      </c>
      <c r="K5" s="30">
        <v>9</v>
      </c>
      <c r="AA5" s="25">
        <v>7</v>
      </c>
      <c r="AB5" s="25">
        <v>31</v>
      </c>
      <c r="AC5" s="25" t="s">
        <v>3</v>
      </c>
      <c r="AD5" s="24" t="s">
        <v>101</v>
      </c>
      <c r="AE5" s="25">
        <v>7</v>
      </c>
      <c r="AF5" s="25">
        <v>9</v>
      </c>
    </row>
    <row r="6" spans="1:32" ht="15">
      <c r="A6" s="30">
        <v>4</v>
      </c>
      <c r="B6" s="30">
        <v>9</v>
      </c>
      <c r="C6" s="30" t="str">
        <f>IF(ISBLANK(B6),"",VLOOKUP(B6,Entries!$A$4:$C$65,2,FALSE))</f>
        <v>A</v>
      </c>
      <c r="D6" s="31" t="str">
        <f>IF(ISBLANK(B6),"",VLOOKUP(B6,Entries!$A$4:$C$65,3,FALSE))</f>
        <v>Leigh on Sea Striders - I liked the Boys</v>
      </c>
      <c r="E6" s="30">
        <f t="shared" si="0"/>
        <v>4</v>
      </c>
      <c r="F6" s="30">
        <f>IF(ISBLANK(B6),"",VLOOKUP(B6,Overall!$B$4:$AR$75,9,FALSE))</f>
        <v>7</v>
      </c>
      <c r="G6" s="25">
        <f>IF(ISBLANK($B5),"",IF(OR($B6=$B5,$B6=$B4,$B6=$B3),"*",""))</f>
      </c>
      <c r="H6" s="30">
        <v>4</v>
      </c>
      <c r="I6" s="30">
        <v>17</v>
      </c>
      <c r="J6" s="31" t="s">
        <v>107</v>
      </c>
      <c r="K6" s="30">
        <v>10</v>
      </c>
      <c r="AA6" s="25">
        <v>6</v>
      </c>
      <c r="AB6" s="25">
        <v>17</v>
      </c>
      <c r="AC6" s="25" t="s">
        <v>3</v>
      </c>
      <c r="AD6" s="24" t="s">
        <v>107</v>
      </c>
      <c r="AE6" s="25">
        <v>6</v>
      </c>
      <c r="AF6" s="25">
        <v>10</v>
      </c>
    </row>
    <row r="7" spans="1:32" ht="15">
      <c r="A7" s="30">
        <v>5</v>
      </c>
      <c r="B7" s="30">
        <v>32</v>
      </c>
      <c r="C7" s="30" t="str">
        <f>IF(ISBLANK(B7),"",VLOOKUP(B7,Entries!$A$4:$C$65,2,FALSE))</f>
        <v>A</v>
      </c>
      <c r="D7" s="31" t="str">
        <f>IF(ISBLANK(B7),"",VLOOKUP(B7,Entries!$A$4:$C$65,3,FALSE))</f>
        <v>Grange Farm A</v>
      </c>
      <c r="E7" s="30">
        <f t="shared" si="0"/>
        <v>5</v>
      </c>
      <c r="F7" s="30">
        <f>IF(ISBLANK(B7),"",VLOOKUP(B7,Overall!$B$4:$AR$75,9,FALSE))</f>
        <v>15</v>
      </c>
      <c r="G7" s="25">
        <f>IF(ISBLANK($B6),"",IF(OR($B7=$B6,$B7=$B5,$B7=$B4,$B7=$B3),"*",""))</f>
      </c>
      <c r="H7" s="30">
        <v>5</v>
      </c>
      <c r="I7" s="30">
        <v>32</v>
      </c>
      <c r="J7" s="31" t="s">
        <v>163</v>
      </c>
      <c r="K7" s="30">
        <v>15</v>
      </c>
      <c r="AA7" s="25">
        <v>5</v>
      </c>
      <c r="AB7" s="25">
        <v>32</v>
      </c>
      <c r="AC7" s="25" t="s">
        <v>3</v>
      </c>
      <c r="AD7" s="24" t="s">
        <v>163</v>
      </c>
      <c r="AE7" s="25">
        <v>5</v>
      </c>
      <c r="AF7" s="25">
        <v>15</v>
      </c>
    </row>
    <row r="8" spans="1:32" ht="15">
      <c r="A8" s="30">
        <v>6</v>
      </c>
      <c r="B8" s="30">
        <v>17</v>
      </c>
      <c r="C8" s="30" t="str">
        <f>IF(ISBLANK(B8),"",VLOOKUP(B8,Entries!$A$4:$C$65,2,FALSE))</f>
        <v>A</v>
      </c>
      <c r="D8" s="31" t="str">
        <f>IF(ISBLANK(B8),"",VLOOKUP(B8,Entries!$A$4:$C$65,3,FALSE))</f>
        <v>Benfleet Men A</v>
      </c>
      <c r="E8" s="30">
        <f t="shared" si="0"/>
        <v>6</v>
      </c>
      <c r="F8" s="30">
        <f>IF(ISBLANK(B8),"",VLOOKUP(B8,Overall!$B$4:$AR$75,9,FALSE))</f>
        <v>10</v>
      </c>
      <c r="G8" s="25">
        <f>IF(ISBLANK($B7),"",IF(OR($B8=$B7,$B8=$B6,$B8=$B5,$B8=$B4,$B8=$B3),"*",""))</f>
      </c>
      <c r="H8" s="30">
        <v>6</v>
      </c>
      <c r="I8" s="30">
        <v>21</v>
      </c>
      <c r="J8" s="31" t="s">
        <v>149</v>
      </c>
      <c r="K8" s="30">
        <v>15</v>
      </c>
      <c r="AA8" s="25">
        <v>9</v>
      </c>
      <c r="AB8" s="25">
        <v>21</v>
      </c>
      <c r="AC8" s="25" t="s">
        <v>3</v>
      </c>
      <c r="AD8" s="24" t="s">
        <v>149</v>
      </c>
      <c r="AE8" s="25">
        <v>9</v>
      </c>
      <c r="AF8" s="25">
        <v>15</v>
      </c>
    </row>
    <row r="9" spans="1:32" ht="15">
      <c r="A9" s="30">
        <v>7</v>
      </c>
      <c r="B9" s="30">
        <v>31</v>
      </c>
      <c r="C9" s="30" t="str">
        <f>IF(ISBLANK(B9),"",VLOOKUP(B9,Entries!$A$4:$C$65,2,FALSE))</f>
        <v>A</v>
      </c>
      <c r="D9" s="31" t="str">
        <f>IF(ISBLANK(B9),"",VLOOKUP(B9,Entries!$A$4:$C$65,3,FALSE))</f>
        <v>Springfield Striders Men B</v>
      </c>
      <c r="E9" s="30">
        <f t="shared" si="0"/>
        <v>7</v>
      </c>
      <c r="F9" s="30">
        <f>IF(ISBLANK(B9),"",VLOOKUP(B9,Overall!$B$4:$AR$75,9,FALSE))</f>
        <v>9</v>
      </c>
      <c r="G9" s="25">
        <f>IF(ISBLANK($B8),"",IF(OR($B9=$B8,$B9=$B7,$B9=$B6,$B9=$B5,$B9=$B4,$B9=$B3),"*",""))</f>
      </c>
      <c r="H9" s="30">
        <v>7</v>
      </c>
      <c r="I9" s="30">
        <v>28</v>
      </c>
      <c r="J9" s="31" t="s">
        <v>91</v>
      </c>
      <c r="K9" s="30">
        <v>16</v>
      </c>
      <c r="AA9" s="25">
        <v>3</v>
      </c>
      <c r="AB9" s="25">
        <v>28</v>
      </c>
      <c r="AC9" s="25" t="s">
        <v>3</v>
      </c>
      <c r="AD9" s="24" t="s">
        <v>91</v>
      </c>
      <c r="AE9" s="25">
        <v>3</v>
      </c>
      <c r="AF9" s="25">
        <v>16</v>
      </c>
    </row>
    <row r="10" spans="1:32" ht="15">
      <c r="A10" s="30">
        <v>8</v>
      </c>
      <c r="B10" s="30">
        <v>40</v>
      </c>
      <c r="C10" s="30" t="str">
        <f>IF(ISBLANK(B10),"",VLOOKUP(B10,Entries!$A$4:$C$65,2,FALSE))</f>
        <v>A</v>
      </c>
      <c r="D10" s="31" t="str">
        <f>IF(ISBLANK(B10),"",VLOOKUP(B10,Entries!$A$4:$C$65,3,FALSE))</f>
        <v>Pitsea RC Men </v>
      </c>
      <c r="E10" s="30">
        <f t="shared" si="0"/>
        <v>8</v>
      </c>
      <c r="F10" s="30">
        <f>IF(ISBLANK(B10),"",VLOOKUP(B10,Overall!$B$4:$AR$75,9,FALSE))</f>
        <v>60</v>
      </c>
      <c r="G10" s="25">
        <f>IF(ISBLANK($B9),"",IF(OR($B10=$B9,$B10=$B8,$B10=$B7,$B10=$B6,$B10=$B5,$B10=$B4,$B10=$B3),"*",""))</f>
      </c>
      <c r="H10" s="30">
        <v>8</v>
      </c>
      <c r="I10" s="30">
        <v>24</v>
      </c>
      <c r="J10" s="31" t="s">
        <v>157</v>
      </c>
      <c r="K10" s="30">
        <v>20</v>
      </c>
      <c r="AA10" s="25">
        <v>1</v>
      </c>
      <c r="AB10" s="25">
        <v>24</v>
      </c>
      <c r="AC10" s="25" t="s">
        <v>3</v>
      </c>
      <c r="AD10" s="24" t="s">
        <v>157</v>
      </c>
      <c r="AE10" s="25">
        <v>1</v>
      </c>
      <c r="AF10" s="25">
        <v>20</v>
      </c>
    </row>
    <row r="11" spans="1:32" ht="15">
      <c r="A11" s="30">
        <v>9</v>
      </c>
      <c r="B11" s="30">
        <v>21</v>
      </c>
      <c r="C11" s="30" t="str">
        <f>IF(ISBLANK(B11),"",VLOOKUP(B11,Entries!$A$4:$C$65,2,FALSE))</f>
        <v>A</v>
      </c>
      <c r="D11" s="31" t="str">
        <f>IF(ISBLANK(B11),"",VLOOKUP(B11,Entries!$A$4:$C$65,3,FALSE))</f>
        <v>TGT Men A</v>
      </c>
      <c r="E11" s="30">
        <f>IF(ISBLANK(B11),"",A11)</f>
        <v>9</v>
      </c>
      <c r="F11" s="30">
        <f>IF(ISBLANK(B11),"",VLOOKUP(B11,Overall!$B$4:$AR$75,9,FALSE))</f>
        <v>15</v>
      </c>
      <c r="G11" s="25">
        <f>IF(ISBLANK($B10),"",IF(OR($B11=$B10,$B11=$B9,$B11=$B8,$B11=$B7,$B11=$B6,$B11=$B5,$B11=$B4,$B11=$B3),"*",""))</f>
      </c>
      <c r="H11" s="30">
        <v>9</v>
      </c>
      <c r="I11" s="30">
        <v>18</v>
      </c>
      <c r="J11" s="31" t="s">
        <v>109</v>
      </c>
      <c r="K11" s="30">
        <v>26</v>
      </c>
      <c r="AA11" s="25">
        <v>21</v>
      </c>
      <c r="AB11" s="25">
        <v>18</v>
      </c>
      <c r="AC11" s="25" t="s">
        <v>3</v>
      </c>
      <c r="AD11" s="24" t="s">
        <v>109</v>
      </c>
      <c r="AE11" s="25">
        <v>21</v>
      </c>
      <c r="AF11" s="25">
        <v>26</v>
      </c>
    </row>
    <row r="12" spans="1:32" ht="15">
      <c r="A12" s="30">
        <v>10</v>
      </c>
      <c r="B12" s="30">
        <v>14</v>
      </c>
      <c r="C12" s="30" t="str">
        <f>IF(ISBLANK(B12),"",VLOOKUP(B12,Entries!$A$4:$C$65,2,FALSE))</f>
        <v>A</v>
      </c>
      <c r="D12" s="31" t="str">
        <f>IF(ISBLANK(B12),"",VLOOKUP(B12,Entries!$A$4:$C$65,3,FALSE))</f>
        <v>Mid Essex Casuals C</v>
      </c>
      <c r="E12" s="30">
        <f t="shared" si="0"/>
        <v>10</v>
      </c>
      <c r="F12" s="30">
        <f>IF(ISBLANK(B12),"",VLOOKUP(B12,Overall!$B$4:$AR$75,9,FALSE))</f>
        <v>45</v>
      </c>
      <c r="G12" s="25">
        <f>IF(ISBLANK($B12),"",IF(OR($B12=$B11,$B12=$B10,$B12=$B9,$B12=$B8,$B12=$B7,$B12=$B6,$B12=$B5,$B12=$B4,$B12=$B3),"*",""))</f>
      </c>
      <c r="H12" s="30">
        <v>10</v>
      </c>
      <c r="I12" s="30">
        <v>5</v>
      </c>
      <c r="J12" s="31" t="s">
        <v>124</v>
      </c>
      <c r="K12" s="30">
        <v>27</v>
      </c>
      <c r="AA12" s="25">
        <v>18</v>
      </c>
      <c r="AB12" s="25">
        <v>5</v>
      </c>
      <c r="AC12" s="25" t="s">
        <v>3</v>
      </c>
      <c r="AD12" s="24" t="s">
        <v>124</v>
      </c>
      <c r="AE12" s="25">
        <v>18</v>
      </c>
      <c r="AF12" s="25">
        <v>27</v>
      </c>
    </row>
    <row r="13" spans="1:32" ht="15">
      <c r="A13" s="30">
        <v>11</v>
      </c>
      <c r="B13" s="30">
        <v>50</v>
      </c>
      <c r="C13" s="30" t="str">
        <f>IF(ISBLANK(B13),"",VLOOKUP(B13,Entries!$A$4:$C$65,2,FALSE))</f>
        <v>V</v>
      </c>
      <c r="D13" s="31" t="str">
        <f>IF(ISBLANK(B13),"",VLOOKUP(B13,Entries!$A$4:$C$65,3,FALSE))</f>
        <v>Harwich Runners Vets</v>
      </c>
      <c r="E13" s="30">
        <f t="shared" si="0"/>
        <v>11</v>
      </c>
      <c r="F13" s="30">
        <f>IF(ISBLANK(B13),"",VLOOKUP(B13,Overall!$B$4:$AR$75,9,FALSE))</f>
        <v>31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36</v>
      </c>
      <c r="J13" s="31" t="s">
        <v>102</v>
      </c>
      <c r="K13" s="30">
        <v>27</v>
      </c>
      <c r="AA13" s="25">
        <v>19</v>
      </c>
      <c r="AB13" s="25">
        <v>36</v>
      </c>
      <c r="AC13" s="25" t="s">
        <v>3</v>
      </c>
      <c r="AD13" s="24" t="s">
        <v>102</v>
      </c>
      <c r="AE13" s="25">
        <v>19</v>
      </c>
      <c r="AF13" s="25">
        <v>27</v>
      </c>
    </row>
    <row r="14" spans="1:32" ht="15">
      <c r="A14" s="30">
        <v>12</v>
      </c>
      <c r="B14" s="30">
        <v>64</v>
      </c>
      <c r="C14" s="30" t="str">
        <f>IF(ISBLANK(B14),"",VLOOKUP(B14,Entries!$A$4:$C$65,2,FALSE))</f>
        <v>L</v>
      </c>
      <c r="D14" s="31" t="str">
        <f>IF(ISBLANK(B14),"",VLOOKUP(B14,Entries!$A$4:$C$65,3,FALSE))</f>
        <v>Benfleet Ladies A</v>
      </c>
      <c r="E14" s="30">
        <f t="shared" si="0"/>
        <v>12</v>
      </c>
      <c r="F14" s="30">
        <f>IF(ISBLANK(B14),"",VLOOKUP(B14,Overall!$B$4:$AR$75,9,FALSE))</f>
        <v>29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19</v>
      </c>
      <c r="J14" s="31" t="s">
        <v>110</v>
      </c>
      <c r="K14" s="30">
        <v>31</v>
      </c>
      <c r="AA14" s="25">
        <v>20</v>
      </c>
      <c r="AB14" s="25">
        <v>19</v>
      </c>
      <c r="AC14" s="25" t="s">
        <v>3</v>
      </c>
      <c r="AD14" s="24" t="s">
        <v>110</v>
      </c>
      <c r="AE14" s="25">
        <v>20</v>
      </c>
      <c r="AF14" s="25">
        <v>31</v>
      </c>
    </row>
    <row r="15" spans="1:32" ht="15">
      <c r="A15" s="30">
        <v>13</v>
      </c>
      <c r="B15" s="30">
        <v>26</v>
      </c>
      <c r="C15" s="30" t="str">
        <f>IF(ISBLANK(B15),"",VLOOKUP(B15,Entries!$A$4:$C$65,2,FALSE))</f>
        <v>A</v>
      </c>
      <c r="D15" s="31" t="str">
        <f>IF(ISBLANK(B15),"",VLOOKUP(B15,Entries!$A$4:$C$65,3,FALSE))</f>
        <v>Harwich Runners Men</v>
      </c>
      <c r="E15" s="30">
        <f t="shared" si="0"/>
        <v>13</v>
      </c>
      <c r="F15" s="30">
        <f>IF(ISBLANK(B15),"",VLOOKUP(B15,Overall!$B$4:$AR$75,9,FALSE))</f>
        <v>39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34</v>
      </c>
      <c r="J15" s="31" t="s">
        <v>167</v>
      </c>
      <c r="K15" s="30">
        <v>35</v>
      </c>
      <c r="AA15" s="25">
        <v>23</v>
      </c>
      <c r="AB15" s="25">
        <v>34</v>
      </c>
      <c r="AC15" s="25" t="s">
        <v>3</v>
      </c>
      <c r="AD15" s="24" t="s">
        <v>167</v>
      </c>
      <c r="AE15" s="25">
        <v>23</v>
      </c>
      <c r="AF15" s="25">
        <v>35</v>
      </c>
    </row>
    <row r="16" spans="1:32" ht="15">
      <c r="A16" s="30">
        <v>14</v>
      </c>
      <c r="B16" s="30">
        <v>13</v>
      </c>
      <c r="C16" s="30" t="str">
        <f>IF(ISBLANK(B16),"",VLOOKUP(B16,Entries!$A$4:$C$65,2,FALSE))</f>
        <v>A</v>
      </c>
      <c r="D16" s="31" t="str">
        <f>IF(ISBLANK(B16),"",VLOOKUP(B16,Entries!$A$4:$C$65,3,FALSE))</f>
        <v>Mid Essex Casuals B</v>
      </c>
      <c r="E16" s="30">
        <f t="shared" si="0"/>
        <v>14</v>
      </c>
      <c r="F16" s="30">
        <f>IF(ISBLANK(B16),"",VLOOKUP(B16,Overall!$B$4:$AR$75,9,FALSE))</f>
        <v>38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13</v>
      </c>
      <c r="J16" s="31" t="s">
        <v>85</v>
      </c>
      <c r="K16" s="30">
        <v>38</v>
      </c>
      <c r="AA16" s="25">
        <v>14</v>
      </c>
      <c r="AB16" s="25">
        <v>13</v>
      </c>
      <c r="AC16" s="25" t="s">
        <v>3</v>
      </c>
      <c r="AD16" s="24" t="s">
        <v>85</v>
      </c>
      <c r="AE16" s="25">
        <v>14</v>
      </c>
      <c r="AF16" s="25">
        <v>38</v>
      </c>
    </row>
    <row r="17" spans="1:32" ht="15">
      <c r="A17" s="30">
        <v>15</v>
      </c>
      <c r="B17" s="30">
        <v>37</v>
      </c>
      <c r="C17" s="30" t="str">
        <f>IF(ISBLANK(B17),"",VLOOKUP(B17,Entries!$A$4:$C$65,2,FALSE))</f>
        <v>A</v>
      </c>
      <c r="D17" s="31" t="str">
        <f>IF(ISBLANK(B17),"",VLOOKUP(B17,Entries!$A$4:$C$65,3,FALSE))</f>
        <v>Springfield Striders Mixed B</v>
      </c>
      <c r="E17" s="30">
        <f t="shared" si="0"/>
        <v>15</v>
      </c>
      <c r="F17" s="30">
        <f>IF(ISBLANK(B17),"",VLOOKUP(B17,Overall!$B$4:$AR$75,9,FALSE))</f>
        <v>40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26</v>
      </c>
      <c r="J17" s="31" t="s">
        <v>162</v>
      </c>
      <c r="K17" s="30">
        <v>39</v>
      </c>
      <c r="AA17" s="25">
        <v>13</v>
      </c>
      <c r="AB17" s="25">
        <v>26</v>
      </c>
      <c r="AC17" s="25" t="s">
        <v>3</v>
      </c>
      <c r="AD17" s="24" t="s">
        <v>162</v>
      </c>
      <c r="AE17" s="25">
        <v>13</v>
      </c>
      <c r="AF17" s="25">
        <v>39</v>
      </c>
    </row>
    <row r="18" spans="1:32" ht="15">
      <c r="A18" s="30">
        <v>16</v>
      </c>
      <c r="B18" s="30">
        <v>53</v>
      </c>
      <c r="C18" s="30" t="str">
        <f>IF(ISBLANK(B18),"",VLOOKUP(B18,Entries!$A$4:$C$65,2,FALSE))</f>
        <v>V</v>
      </c>
      <c r="D18" s="31" t="str">
        <f>IF(ISBLANK(B18),"",VLOOKUP(B18,Entries!$A$4:$C$65,3,FALSE))</f>
        <v>Springfield Striders Vets</v>
      </c>
      <c r="E18" s="30">
        <f t="shared" si="0"/>
        <v>16</v>
      </c>
      <c r="F18" s="30">
        <f>IF(ISBLANK(B18),"",VLOOKUP(B18,Overall!$B$4:$AR$75,9,FALSE))</f>
        <v>23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37</v>
      </c>
      <c r="J18" s="31" t="s">
        <v>103</v>
      </c>
      <c r="K18" s="30">
        <v>40</v>
      </c>
      <c r="AA18" s="25">
        <v>15</v>
      </c>
      <c r="AB18" s="25">
        <v>37</v>
      </c>
      <c r="AC18" s="25" t="s">
        <v>3</v>
      </c>
      <c r="AD18" s="24" t="s">
        <v>103</v>
      </c>
      <c r="AE18" s="25">
        <v>15</v>
      </c>
      <c r="AF18" s="25">
        <v>40</v>
      </c>
    </row>
    <row r="19" spans="1:32" ht="15">
      <c r="A19" s="30">
        <v>17</v>
      </c>
      <c r="B19" s="30">
        <v>69</v>
      </c>
      <c r="C19" s="30" t="str">
        <f>IF(ISBLANK(B19),"",VLOOKUP(B19,Entries!$A$4:$C$65,2,FALSE))</f>
        <v>L</v>
      </c>
      <c r="D19" s="31" t="str">
        <f>IF(ISBLANK(B19),"",VLOOKUP(B19,Entries!$A$4:$C$65,3,FALSE))</f>
        <v>Southend Ladies</v>
      </c>
      <c r="E19" s="30">
        <f t="shared" si="0"/>
        <v>17</v>
      </c>
      <c r="F19" s="30">
        <f>IF(ISBLANK(B19),"",VLOOKUP(B19,Overall!$B$4:$AR$75,9,FALSE))</f>
        <v>55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38</v>
      </c>
      <c r="J19" s="31" t="s">
        <v>104</v>
      </c>
      <c r="K19" s="30">
        <v>41</v>
      </c>
      <c r="AA19" s="25">
        <v>26</v>
      </c>
      <c r="AB19" s="25">
        <v>38</v>
      </c>
      <c r="AC19" s="25" t="s">
        <v>3</v>
      </c>
      <c r="AD19" s="24" t="s">
        <v>104</v>
      </c>
      <c r="AE19" s="25">
        <v>26</v>
      </c>
      <c r="AF19" s="25">
        <v>41</v>
      </c>
    </row>
    <row r="20" spans="1:32" ht="15">
      <c r="A20" s="30">
        <v>18</v>
      </c>
      <c r="B20" s="30">
        <v>5</v>
      </c>
      <c r="C20" s="30" t="str">
        <f>IF(ISBLANK(B20),"",VLOOKUP(B20,Entries!$A$4:$C$65,2,FALSE))</f>
        <v>A</v>
      </c>
      <c r="D20" s="31" t="str">
        <f>IF(ISBLANK(B20),"",VLOOKUP(B20,Entries!$A$4:$C$65,3,FALSE))</f>
        <v>Tiptree Men</v>
      </c>
      <c r="E20" s="30">
        <f t="shared" si="0"/>
        <v>18</v>
      </c>
      <c r="F20" s="30">
        <f>IF(ISBLANK(B20),"",VLOOKUP(B20,Overall!$B$4:$AR$75,9,FALSE))</f>
        <v>27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33</v>
      </c>
      <c r="J20" s="31" t="s">
        <v>166</v>
      </c>
      <c r="K20" s="30">
        <v>44</v>
      </c>
      <c r="AA20" s="25">
        <v>22</v>
      </c>
      <c r="AB20" s="25">
        <v>33</v>
      </c>
      <c r="AC20" s="25" t="s">
        <v>3</v>
      </c>
      <c r="AD20" s="24" t="s">
        <v>166</v>
      </c>
      <c r="AE20" s="25">
        <v>22</v>
      </c>
      <c r="AF20" s="25">
        <v>44</v>
      </c>
    </row>
    <row r="21" spans="1:32" ht="15">
      <c r="A21" s="30">
        <v>19</v>
      </c>
      <c r="B21" s="30">
        <v>36</v>
      </c>
      <c r="C21" s="30" t="str">
        <f>IF(ISBLANK(B21),"",VLOOKUP(B21,Entries!$A$4:$C$65,2,FALSE))</f>
        <v>A</v>
      </c>
      <c r="D21" s="31" t="str">
        <f>IF(ISBLANK(B21),"",VLOOKUP(B21,Entries!$A$4:$C$65,3,FALSE))</f>
        <v>Springfield Striders Mixed A</v>
      </c>
      <c r="E21" s="30">
        <f t="shared" si="0"/>
        <v>19</v>
      </c>
      <c r="F21" s="30">
        <f>IF(ISBLANK(B21),"",VLOOKUP(B21,Overall!$B$4:$AR$75,9,FALSE))</f>
        <v>27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25</v>
      </c>
      <c r="J21" s="31" t="s">
        <v>160</v>
      </c>
      <c r="K21" s="30">
        <v>44</v>
      </c>
      <c r="AA21" s="25">
        <v>30</v>
      </c>
      <c r="AB21" s="25">
        <v>25</v>
      </c>
      <c r="AC21" s="25" t="s">
        <v>3</v>
      </c>
      <c r="AD21" s="24" t="s">
        <v>160</v>
      </c>
      <c r="AE21" s="25">
        <v>30</v>
      </c>
      <c r="AF21" s="25">
        <v>44</v>
      </c>
    </row>
    <row r="22" spans="1:32" ht="15">
      <c r="A22" s="30">
        <v>20</v>
      </c>
      <c r="B22" s="30">
        <v>19</v>
      </c>
      <c r="C22" s="30" t="str">
        <f>IF(ISBLANK(B22),"",VLOOKUP(B22,Entries!$A$4:$C$65,2,FALSE))</f>
        <v>A</v>
      </c>
      <c r="D22" s="31" t="str">
        <f>IF(ISBLANK(B22),"",VLOOKUP(B22,Entries!$A$4:$C$65,3,FALSE))</f>
        <v>Benfleet Men C</v>
      </c>
      <c r="E22" s="30">
        <f t="shared" si="0"/>
        <v>20</v>
      </c>
      <c r="F22" s="30">
        <f>IF(ISBLANK(B22),"",VLOOKUP(B22,Overall!$B$4:$AR$75,9,FALSE))</f>
        <v>31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14</v>
      </c>
      <c r="J22" s="31" t="s">
        <v>141</v>
      </c>
      <c r="K22" s="30">
        <v>45</v>
      </c>
      <c r="AA22" s="25">
        <v>10</v>
      </c>
      <c r="AB22" s="25">
        <v>14</v>
      </c>
      <c r="AC22" s="25" t="s">
        <v>3</v>
      </c>
      <c r="AD22" s="24" t="s">
        <v>141</v>
      </c>
      <c r="AE22" s="25">
        <v>10</v>
      </c>
      <c r="AF22" s="25">
        <v>45</v>
      </c>
    </row>
    <row r="23" spans="1:32" ht="15">
      <c r="A23" s="30">
        <v>21</v>
      </c>
      <c r="B23" s="30">
        <v>18</v>
      </c>
      <c r="C23" s="30" t="str">
        <f>IF(ISBLANK(B23),"",VLOOKUP(B23,Entries!$A$4:$C$65,2,FALSE))</f>
        <v>A</v>
      </c>
      <c r="D23" s="31" t="str">
        <f>IF(ISBLANK(B23),"",VLOOKUP(B23,Entries!$A$4:$C$65,3,FALSE))</f>
        <v>Benfleet Men B</v>
      </c>
      <c r="E23" s="30">
        <f t="shared" si="0"/>
        <v>21</v>
      </c>
      <c r="F23" s="30">
        <f>IF(ISBLANK(B23),"",VLOOKUP(B23,Overall!$B$4:$AR$75,9,FALSE))</f>
        <v>26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7</v>
      </c>
      <c r="J23" s="31" t="s">
        <v>129</v>
      </c>
      <c r="K23" s="30">
        <v>45</v>
      </c>
      <c r="AA23" s="25">
        <v>24</v>
      </c>
      <c r="AB23" s="25">
        <v>7</v>
      </c>
      <c r="AC23" s="25" t="s">
        <v>3</v>
      </c>
      <c r="AD23" s="24" t="s">
        <v>129</v>
      </c>
      <c r="AE23" s="25">
        <v>24</v>
      </c>
      <c r="AF23" s="25">
        <v>45</v>
      </c>
    </row>
    <row r="24" spans="1:32" ht="15">
      <c r="A24" s="30">
        <v>22</v>
      </c>
      <c r="B24" s="30">
        <v>33</v>
      </c>
      <c r="C24" s="30" t="str">
        <f>IF(ISBLANK(B24),"",VLOOKUP(B24,Entries!$A$4:$C$65,2,FALSE))</f>
        <v>A</v>
      </c>
      <c r="D24" s="31" t="str">
        <f>IF(ISBLANK(B24),"",VLOOKUP(B24,Entries!$A$4:$C$65,3,FALSE))</f>
        <v>Grange Farm B</v>
      </c>
      <c r="E24" s="30">
        <f t="shared" si="0"/>
        <v>22</v>
      </c>
      <c r="F24" s="30">
        <f>IF(ISBLANK(B24),"",VLOOKUP(B24,Overall!$B$4:$AR$75,9,FALSE))</f>
        <v>44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35</v>
      </c>
      <c r="J24" s="31" t="s">
        <v>168</v>
      </c>
      <c r="K24" s="30">
        <v>59</v>
      </c>
      <c r="AA24" s="25">
        <v>41</v>
      </c>
      <c r="AB24" s="25">
        <v>35</v>
      </c>
      <c r="AC24" s="25" t="s">
        <v>3</v>
      </c>
      <c r="AD24" s="24" t="s">
        <v>168</v>
      </c>
      <c r="AE24" s="25">
        <v>41</v>
      </c>
      <c r="AF24" s="25">
        <v>59</v>
      </c>
    </row>
    <row r="25" spans="1:32" ht="15">
      <c r="A25" s="30">
        <v>23</v>
      </c>
      <c r="B25" s="30">
        <v>34</v>
      </c>
      <c r="C25" s="30" t="str">
        <f>IF(ISBLANK(B25),"",VLOOKUP(B25,Entries!$A$4:$C$65,2,FALSE))</f>
        <v>A</v>
      </c>
      <c r="D25" s="31" t="str">
        <f>IF(ISBLANK(B25),"",VLOOKUP(B25,Entries!$A$4:$C$65,3,FALSE))</f>
        <v>Grange Farm C</v>
      </c>
      <c r="E25" s="30">
        <f t="shared" si="0"/>
        <v>23</v>
      </c>
      <c r="F25" s="30">
        <f>IF(ISBLANK(B25),"",VLOOKUP(B25,Overall!$B$4:$AR$75,9,FALSE))</f>
        <v>35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40</v>
      </c>
      <c r="J25" s="31" t="s">
        <v>173</v>
      </c>
      <c r="K25" s="30">
        <v>60</v>
      </c>
      <c r="AA25" s="25">
        <v>8</v>
      </c>
      <c r="AB25" s="25">
        <v>40</v>
      </c>
      <c r="AC25" s="25" t="s">
        <v>3</v>
      </c>
      <c r="AD25" s="24" t="s">
        <v>173</v>
      </c>
      <c r="AE25" s="25">
        <v>8</v>
      </c>
      <c r="AF25" s="25">
        <v>60</v>
      </c>
    </row>
    <row r="26" spans="1:32" ht="15">
      <c r="A26" s="30">
        <v>24</v>
      </c>
      <c r="B26" s="30">
        <v>7</v>
      </c>
      <c r="C26" s="30" t="str">
        <f>IF(ISBLANK(B26),"",VLOOKUP(B26,Entries!$A$4:$C$65,2,FALSE))</f>
        <v>A</v>
      </c>
      <c r="D26" s="31" t="str">
        <f>IF(ISBLANK(B26),"",VLOOKUP(B26,Entries!$A$4:$C$65,3,FALSE))</f>
        <v>Halstead Road Runners</v>
      </c>
      <c r="E26" s="30">
        <f t="shared" si="0"/>
        <v>24</v>
      </c>
      <c r="F26" s="30">
        <f>IF(ISBLANK(B26),"",VLOOKUP(B26,Overall!$B$4:$AR$75,9,FALSE))</f>
        <v>45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10</v>
      </c>
      <c r="J26" s="31" t="s">
        <v>136</v>
      </c>
      <c r="K26" s="30">
        <v>71</v>
      </c>
      <c r="AA26" s="25">
        <v>37</v>
      </c>
      <c r="AB26" s="25">
        <v>10</v>
      </c>
      <c r="AC26" s="25" t="s">
        <v>3</v>
      </c>
      <c r="AD26" s="24" t="s">
        <v>136</v>
      </c>
      <c r="AE26" s="25">
        <v>37</v>
      </c>
      <c r="AF26" s="25">
        <v>71</v>
      </c>
    </row>
    <row r="27" spans="1:32" ht="15">
      <c r="A27" s="30">
        <v>25</v>
      </c>
      <c r="B27" s="30">
        <v>12</v>
      </c>
      <c r="C27" s="30" t="str">
        <f>IF(ISBLANK(B27),"",VLOOKUP(B27,Entries!$A$4:$C$65,2,FALSE))</f>
        <v>V</v>
      </c>
      <c r="D27" s="31" t="str">
        <f>IF(ISBLANK(B27),"",VLOOKUP(B27,Entries!$A$4:$C$65,3,FALSE))</f>
        <v>Mid Essex Casuals A</v>
      </c>
      <c r="E27" s="30">
        <f>IF(ISBLANK(B27),"",A27)</f>
        <v>25</v>
      </c>
      <c r="F27" s="30">
        <f>IF(ISBLANK(B27),"",VLOOKUP(B27,Overall!$B$4:$AR$75,9,FALSE))</f>
        <v>64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39</v>
      </c>
      <c r="J27" s="31" t="s">
        <v>105</v>
      </c>
      <c r="K27" s="30">
        <v>71</v>
      </c>
      <c r="AA27" s="25">
        <v>38</v>
      </c>
      <c r="AB27" s="25">
        <v>39</v>
      </c>
      <c r="AC27" s="25" t="s">
        <v>3</v>
      </c>
      <c r="AD27" s="24" t="s">
        <v>105</v>
      </c>
      <c r="AE27" s="25">
        <v>38</v>
      </c>
      <c r="AF27" s="25">
        <v>71</v>
      </c>
    </row>
    <row r="28" spans="1:32" ht="15">
      <c r="A28" s="30">
        <v>26</v>
      </c>
      <c r="B28" s="30">
        <v>38</v>
      </c>
      <c r="C28" s="30" t="str">
        <f>IF(ISBLANK(B28),"",VLOOKUP(B28,Entries!$A$4:$C$65,2,FALSE))</f>
        <v>A</v>
      </c>
      <c r="D28" s="31" t="str">
        <f>IF(ISBLANK(B28),"",VLOOKUP(B28,Entries!$A$4:$C$65,3,FALSE))</f>
        <v>Springfield Striders Mixed C</v>
      </c>
      <c r="E28" s="30">
        <f>IF(ISBLANK(B28),"",A28)</f>
        <v>26</v>
      </c>
      <c r="F28" s="30">
        <f>IF(ISBLANK(B28),"",VLOOKUP(B28,Overall!$B$4:$AR$75,9,FALSE))</f>
        <v>41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30</v>
      </c>
      <c r="J28" s="31" t="s">
        <v>100</v>
      </c>
      <c r="K28" s="30">
        <v>75</v>
      </c>
      <c r="AA28" s="25">
        <v>47</v>
      </c>
      <c r="AB28" s="25">
        <v>30</v>
      </c>
      <c r="AC28" s="25" t="s">
        <v>3</v>
      </c>
      <c r="AD28" s="24" t="s">
        <v>100</v>
      </c>
      <c r="AE28" s="25">
        <v>47</v>
      </c>
      <c r="AF28" s="25">
        <v>75</v>
      </c>
    </row>
    <row r="29" spans="1:32" ht="15">
      <c r="A29" s="30">
        <v>27</v>
      </c>
      <c r="B29" s="30">
        <v>57</v>
      </c>
      <c r="C29" s="30" t="str">
        <f>IF(ISBLANK(B29),"",VLOOKUP(B29,Entries!$A$4:$C$65,2,FALSE))</f>
        <v>L</v>
      </c>
      <c r="D29" s="31" t="str">
        <f>IF(ISBLANK(B29),"",VLOOKUP(B29,Entries!$A$4:$C$65,3,FALSE))</f>
        <v>Springfield Striders Ladies A</v>
      </c>
      <c r="E29" s="30">
        <f>IF(ISBLANK(B29),"",A29)</f>
        <v>27</v>
      </c>
      <c r="F29" s="30">
        <f>IF(ISBLANK(B29),"",VLOOKUP(B29,Overall!$B$4:$AR$75,9,FALSE))</f>
        <v>74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22</v>
      </c>
      <c r="J29" s="31" t="s">
        <v>152</v>
      </c>
      <c r="K29" s="30">
        <v>81</v>
      </c>
      <c r="AA29" s="25">
        <v>31</v>
      </c>
      <c r="AB29" s="25">
        <v>22</v>
      </c>
      <c r="AC29" s="25" t="s">
        <v>3</v>
      </c>
      <c r="AD29" s="24" t="s">
        <v>152</v>
      </c>
      <c r="AE29" s="25">
        <v>31</v>
      </c>
      <c r="AF29" s="25">
        <v>81</v>
      </c>
    </row>
    <row r="30" spans="1:32" ht="15">
      <c r="A30" s="30">
        <v>28</v>
      </c>
      <c r="B30" s="30">
        <v>8</v>
      </c>
      <c r="C30" s="30" t="str">
        <f>IF(ISBLANK(B30),"",VLOOKUP(B30,Entries!$A$4:$C$65,2,FALSE))</f>
        <v>A</v>
      </c>
      <c r="D30" s="31" t="str">
        <f>IF(ISBLANK(B30),"",VLOOKUP(B30,Entries!$A$4:$C$65,3,FALSE))</f>
        <v>East Essex Tri Men</v>
      </c>
      <c r="E30" s="30">
        <f>IF(ISBLANK(B30),"",A30)</f>
        <v>28</v>
      </c>
      <c r="F30" s="30">
        <f>IF(ISBLANK(B30),"",VLOOKUP(B30,Overall!$B$4:$AR$75,9,FALSE))</f>
        <v>128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20</v>
      </c>
      <c r="J30" s="31" t="s">
        <v>145</v>
      </c>
      <c r="K30" s="30">
        <v>85</v>
      </c>
      <c r="AA30" s="25">
        <v>48</v>
      </c>
      <c r="AB30" s="25">
        <v>20</v>
      </c>
      <c r="AC30" s="25" t="s">
        <v>3</v>
      </c>
      <c r="AD30" s="24" t="s">
        <v>145</v>
      </c>
      <c r="AE30" s="25">
        <v>48</v>
      </c>
      <c r="AF30" s="25">
        <v>85</v>
      </c>
    </row>
    <row r="31" spans="1:32" ht="15">
      <c r="A31" s="30">
        <v>29</v>
      </c>
      <c r="B31" s="30">
        <v>15</v>
      </c>
      <c r="C31" s="30" t="str">
        <f>IF(ISBLANK(B31),"",VLOOKUP(B31,Entries!$A$4:$C$65,2,FALSE))</f>
        <v>A</v>
      </c>
      <c r="D31" s="31" t="str">
        <f>IF(ISBLANK(B31),"",VLOOKUP(B31,Entries!$A$4:$C$65,3,FALSE))</f>
        <v>Havering 90 A</v>
      </c>
      <c r="E31" s="30">
        <f t="shared" si="0"/>
        <v>29</v>
      </c>
      <c r="F31" s="30">
        <f>IF(ISBLANK(B31),"",VLOOKUP(B31,Overall!$B$4:$AR$75,9,FALSE))</f>
        <v>129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16</v>
      </c>
      <c r="J31" s="31" t="s">
        <v>143</v>
      </c>
      <c r="K31" s="30">
        <v>88</v>
      </c>
      <c r="AA31" s="25">
        <v>39</v>
      </c>
      <c r="AB31" s="25">
        <v>16</v>
      </c>
      <c r="AC31" s="25" t="s">
        <v>3</v>
      </c>
      <c r="AD31" s="24" t="s">
        <v>143</v>
      </c>
      <c r="AE31" s="25">
        <v>39</v>
      </c>
      <c r="AF31" s="25">
        <v>88</v>
      </c>
    </row>
    <row r="32" spans="1:32" ht="15">
      <c r="A32" s="30">
        <v>30</v>
      </c>
      <c r="B32" s="30">
        <v>25</v>
      </c>
      <c r="C32" s="30" t="str">
        <f>IF(ISBLANK(B32),"",VLOOKUP(B32,Entries!$A$4:$C$65,2,FALSE))</f>
        <v>A</v>
      </c>
      <c r="D32" s="31" t="str">
        <f>IF(ISBLANK(B32),"",VLOOKUP(B32,Entries!$A$4:$C$65,3,FALSE))</f>
        <v>Southend Men B</v>
      </c>
      <c r="E32" s="30">
        <f t="shared" si="0"/>
        <v>30</v>
      </c>
      <c r="F32" s="30">
        <f>IF(ISBLANK(B32),"",VLOOKUP(B32,Overall!$B$4:$AR$75,9,FALSE))</f>
        <v>44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6</v>
      </c>
      <c r="J32" s="31" t="s">
        <v>127</v>
      </c>
      <c r="K32" s="30">
        <v>93</v>
      </c>
      <c r="AA32" s="25">
        <v>45</v>
      </c>
      <c r="AB32" s="25">
        <v>6</v>
      </c>
      <c r="AC32" s="25" t="s">
        <v>3</v>
      </c>
      <c r="AD32" s="24" t="s">
        <v>127</v>
      </c>
      <c r="AE32" s="25">
        <v>45</v>
      </c>
      <c r="AF32" s="25">
        <v>93</v>
      </c>
    </row>
    <row r="33" spans="1:32" ht="15">
      <c r="A33" s="30">
        <v>31</v>
      </c>
      <c r="B33" s="30">
        <v>22</v>
      </c>
      <c r="C33" s="30" t="str">
        <f>IF(ISBLANK(B33),"",VLOOKUP(B33,Entries!$A$4:$C$65,2,FALSE))</f>
        <v>A</v>
      </c>
      <c r="D33" s="31" t="str">
        <f>IF(ISBLANK(B33),"",VLOOKUP(B33,Entries!$A$4:$C$65,3,FALSE))</f>
        <v>TGT Men B</v>
      </c>
      <c r="E33" s="30">
        <f t="shared" si="0"/>
        <v>31</v>
      </c>
      <c r="F33" s="30">
        <f>IF(ISBLANK(B33),"",VLOOKUP(B33,Overall!$B$4:$AR$75,9,FALSE))</f>
        <v>81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29</v>
      </c>
      <c r="J33" s="31" t="s">
        <v>92</v>
      </c>
      <c r="K33" s="30">
        <v>93</v>
      </c>
      <c r="AA33" s="25">
        <v>49</v>
      </c>
      <c r="AB33" s="25">
        <v>29</v>
      </c>
      <c r="AC33" s="25" t="s">
        <v>3</v>
      </c>
      <c r="AD33" s="24" t="s">
        <v>92</v>
      </c>
      <c r="AE33" s="25">
        <v>49</v>
      </c>
      <c r="AF33" s="25">
        <v>93</v>
      </c>
    </row>
    <row r="34" spans="1:32" ht="15">
      <c r="A34" s="30">
        <v>32</v>
      </c>
      <c r="B34" s="30">
        <v>66</v>
      </c>
      <c r="C34" s="30" t="str">
        <f>IF(ISBLANK(B34),"",VLOOKUP(B34,Entries!$A$4:$C$65,2,FALSE))</f>
        <v>L</v>
      </c>
      <c r="D34" s="31" t="str">
        <f>IF(ISBLANK(B34),"",VLOOKUP(B34,Entries!$A$4:$C$65,3,FALSE))</f>
        <v>TGT Ladies A</v>
      </c>
      <c r="E34" s="30">
        <f aca="true" t="shared" si="1" ref="E34:E55">IF(ISBLANK(B34),"",A34)</f>
        <v>32</v>
      </c>
      <c r="F34" s="30">
        <f>IF(ISBLANK(B34),"",VLOOKUP(B34,Overall!$B$4:$AR$75,9,FALSE))</f>
        <v>62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11</v>
      </c>
      <c r="J34" s="31" t="s">
        <v>65</v>
      </c>
      <c r="K34" s="30">
        <v>94</v>
      </c>
      <c r="AA34" s="25">
        <v>58</v>
      </c>
      <c r="AB34" s="25">
        <v>11</v>
      </c>
      <c r="AC34" s="25" t="s">
        <v>3</v>
      </c>
      <c r="AD34" s="24" t="s">
        <v>65</v>
      </c>
      <c r="AE34" s="25">
        <v>58</v>
      </c>
      <c r="AF34" s="25">
        <v>94</v>
      </c>
    </row>
    <row r="35" spans="1:32" ht="15">
      <c r="A35" s="30">
        <v>33</v>
      </c>
      <c r="B35" s="30">
        <v>65</v>
      </c>
      <c r="C35" s="30" t="str">
        <f>IF(ISBLANK(B35),"",VLOOKUP(B35,Entries!$A$4:$C$65,2,FALSE))</f>
        <v>L</v>
      </c>
      <c r="D35" s="31" t="str">
        <f>IF(ISBLANK(B35),"",VLOOKUP(B35,Entries!$A$4:$C$65,3,FALSE))</f>
        <v>Benfleet Ladies B</v>
      </c>
      <c r="E35" s="30">
        <f t="shared" si="1"/>
        <v>33</v>
      </c>
      <c r="F35" s="30">
        <f>IF(ISBLANK(B35),"",VLOOKUP(B35,Overall!$B$4:$AR$75,9,FALSE))</f>
        <v>74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3</v>
      </c>
      <c r="J35" s="31" t="s">
        <v>120</v>
      </c>
      <c r="K35" s="30">
        <v>98</v>
      </c>
      <c r="AA35" s="25">
        <v>43</v>
      </c>
      <c r="AB35" s="25">
        <v>3</v>
      </c>
      <c r="AC35" s="25" t="s">
        <v>3</v>
      </c>
      <c r="AD35" s="24" t="s">
        <v>120</v>
      </c>
      <c r="AE35" s="25">
        <v>43</v>
      </c>
      <c r="AF35" s="25">
        <v>98</v>
      </c>
    </row>
    <row r="36" spans="1:32" ht="15">
      <c r="A36" s="30">
        <v>34</v>
      </c>
      <c r="B36" s="30">
        <v>62</v>
      </c>
      <c r="C36" s="30" t="str">
        <f>IF(ISBLANK(B36),"",VLOOKUP(B36,Entries!$A$4:$C$65,2,FALSE))</f>
        <v>L</v>
      </c>
      <c r="D36" s="31" t="str">
        <f>IF(ISBLANK(B36),"",VLOOKUP(B36,Entries!$A$4:$C$65,3,FALSE))</f>
        <v>Leigh on Sea - Weekend without Make up</v>
      </c>
      <c r="E36" s="30">
        <f t="shared" si="1"/>
        <v>34</v>
      </c>
      <c r="F36" s="30">
        <f>IF(ISBLANK(B36),"",VLOOKUP(B36,Overall!$B$4:$AR$75,9,FALSE))</f>
        <v>63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2</v>
      </c>
      <c r="J36" s="31" t="s">
        <v>98</v>
      </c>
      <c r="K36" s="30">
        <v>100</v>
      </c>
      <c r="AA36" s="25">
        <v>55</v>
      </c>
      <c r="AB36" s="25">
        <v>2</v>
      </c>
      <c r="AC36" s="25" t="s">
        <v>3</v>
      </c>
      <c r="AD36" s="24" t="s">
        <v>98</v>
      </c>
      <c r="AE36" s="25">
        <v>55</v>
      </c>
      <c r="AF36" s="25">
        <v>100</v>
      </c>
    </row>
    <row r="37" spans="1:32" ht="15">
      <c r="A37" s="30">
        <v>35</v>
      </c>
      <c r="B37" s="30">
        <v>60</v>
      </c>
      <c r="C37" s="30" t="str">
        <f>IF(ISBLANK(B37),"",VLOOKUP(B37,Entries!$A$4:$C$65,2,FALSE))</f>
        <v>L</v>
      </c>
      <c r="D37" s="31" t="str">
        <f>IF(ISBLANK(B37),"",VLOOKUP(B37,Entries!$A$4:$C$65,3,FALSE))</f>
        <v>Tiptree Ladies</v>
      </c>
      <c r="E37" s="30">
        <f t="shared" si="1"/>
        <v>35</v>
      </c>
      <c r="F37" s="30">
        <f>IF(ISBLANK(B37),"",VLOOKUP(B37,Overall!$B$4:$AR$75,9,FALSE))</f>
        <v>81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1</v>
      </c>
      <c r="J37" s="31" t="s">
        <v>117</v>
      </c>
      <c r="K37" s="30">
        <v>102</v>
      </c>
      <c r="AA37" s="25">
        <v>46</v>
      </c>
      <c r="AB37" s="25">
        <v>1</v>
      </c>
      <c r="AC37" s="25" t="s">
        <v>3</v>
      </c>
      <c r="AD37" s="24" t="s">
        <v>117</v>
      </c>
      <c r="AE37" s="25">
        <v>46</v>
      </c>
      <c r="AF37" s="25">
        <v>102</v>
      </c>
    </row>
    <row r="38" spans="1:32" ht="15">
      <c r="A38" s="30">
        <v>36</v>
      </c>
      <c r="B38" s="30">
        <v>51</v>
      </c>
      <c r="C38" s="30" t="str">
        <f>IF(ISBLANK(B38),"",VLOOKUP(B38,Entries!$A$4:$C$65,2,FALSE))</f>
        <v>V</v>
      </c>
      <c r="D38" s="31" t="str">
        <f>IF(ISBLANK(B38),"",VLOOKUP(B38,Entries!$A$4:$C$65,3,FALSE))</f>
        <v>Ilford Vets</v>
      </c>
      <c r="E38" s="30">
        <f t="shared" si="1"/>
        <v>36</v>
      </c>
      <c r="F38" s="30">
        <f>IF(ISBLANK(B38),"",VLOOKUP(B38,Overall!$B$4:$AR$75,9,FALSE))</f>
        <v>59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27</v>
      </c>
      <c r="J38" s="31" t="s">
        <v>97</v>
      </c>
      <c r="K38" s="30">
        <v>104</v>
      </c>
      <c r="AA38" s="25">
        <v>50</v>
      </c>
      <c r="AB38" s="25">
        <v>27</v>
      </c>
      <c r="AC38" s="25" t="s">
        <v>3</v>
      </c>
      <c r="AD38" s="24" t="s">
        <v>97</v>
      </c>
      <c r="AE38" s="25">
        <v>50</v>
      </c>
      <c r="AF38" s="25">
        <v>104</v>
      </c>
    </row>
    <row r="39" spans="1:32" ht="15">
      <c r="A39" s="30">
        <v>37</v>
      </c>
      <c r="B39" s="30">
        <v>10</v>
      </c>
      <c r="C39" s="30" t="str">
        <f>IF(ISBLANK(B39),"",VLOOKUP(B39,Entries!$A$4:$C$65,2,FALSE))</f>
        <v>A</v>
      </c>
      <c r="D39" s="31" t="str">
        <f>IF(ISBLANK(B39),"",VLOOKUP(B39,Entries!$A$4:$C$65,3,FALSE))</f>
        <v>Colchester Harriers - Colchester Allsorts</v>
      </c>
      <c r="E39" s="30">
        <f t="shared" si="1"/>
        <v>37</v>
      </c>
      <c r="F39" s="30">
        <f>IF(ISBLANK(B39),"",VLOOKUP(B39,Overall!$B$4:$AR$75,9,FALSE))</f>
        <v>71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41</v>
      </c>
      <c r="J39" s="31" t="s">
        <v>176</v>
      </c>
      <c r="K39" s="30">
        <v>109</v>
      </c>
      <c r="AA39" s="25">
        <v>52</v>
      </c>
      <c r="AB39" s="25">
        <v>41</v>
      </c>
      <c r="AC39" s="25" t="s">
        <v>3</v>
      </c>
      <c r="AD39" s="24" t="s">
        <v>176</v>
      </c>
      <c r="AE39" s="25">
        <v>52</v>
      </c>
      <c r="AF39" s="25">
        <v>109</v>
      </c>
    </row>
    <row r="40" spans="1:32" ht="15">
      <c r="A40" s="30">
        <v>38</v>
      </c>
      <c r="B40" s="30">
        <v>39</v>
      </c>
      <c r="C40" s="30" t="str">
        <f>IF(ISBLANK(B40),"",VLOOKUP(B40,Entries!$A$4:$C$65,2,FALSE))</f>
        <v>A</v>
      </c>
      <c r="D40" s="31" t="str">
        <f>IF(ISBLANK(B40),"",VLOOKUP(B40,Entries!$A$4:$C$65,3,FALSE))</f>
        <v>Springfield Striders Mixed D</v>
      </c>
      <c r="E40" s="30">
        <f t="shared" si="1"/>
        <v>38</v>
      </c>
      <c r="F40" s="30">
        <f>IF(ISBLANK(B40),"",VLOOKUP(B40,Overall!$B$4:$AR$75,9,FALSE))</f>
        <v>71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4</v>
      </c>
      <c r="J40" s="31" t="s">
        <v>123</v>
      </c>
      <c r="K40" s="30">
        <v>127</v>
      </c>
      <c r="AA40" s="25">
        <v>100</v>
      </c>
      <c r="AB40" s="25">
        <v>4</v>
      </c>
      <c r="AC40" s="25" t="s">
        <v>3</v>
      </c>
      <c r="AD40" s="24" t="s">
        <v>123</v>
      </c>
      <c r="AE40" s="25">
        <v>100</v>
      </c>
      <c r="AF40" s="25">
        <v>127</v>
      </c>
    </row>
    <row r="41" spans="1:32" ht="15">
      <c r="A41" s="30">
        <v>39</v>
      </c>
      <c r="B41" s="30">
        <v>16</v>
      </c>
      <c r="C41" s="30" t="str">
        <f>IF(ISBLANK(B41),"",VLOOKUP(B41,Entries!$A$4:$C$65,2,FALSE))</f>
        <v>A</v>
      </c>
      <c r="D41" s="31" t="str">
        <f>IF(ISBLANK(B41),"",VLOOKUP(B41,Entries!$A$4:$C$65,3,FALSE))</f>
        <v>Havering 90 B</v>
      </c>
      <c r="E41" s="30">
        <f t="shared" si="1"/>
        <v>39</v>
      </c>
      <c r="F41" s="30">
        <f>IF(ISBLANK(B41),"",VLOOKUP(B41,Overall!$B$4:$AR$75,9,FALSE))</f>
        <v>88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8</v>
      </c>
      <c r="J41" s="31" t="s">
        <v>132</v>
      </c>
      <c r="K41" s="30">
        <v>128</v>
      </c>
      <c r="AA41" s="25">
        <v>28</v>
      </c>
      <c r="AB41" s="25">
        <v>8</v>
      </c>
      <c r="AC41" s="25" t="s">
        <v>3</v>
      </c>
      <c r="AD41" s="24" t="s">
        <v>132</v>
      </c>
      <c r="AE41" s="25">
        <v>28</v>
      </c>
      <c r="AF41" s="25">
        <v>128</v>
      </c>
    </row>
    <row r="42" spans="1:32" ht="15">
      <c r="A42" s="30">
        <v>40</v>
      </c>
      <c r="B42" s="30">
        <v>67</v>
      </c>
      <c r="C42" s="30" t="str">
        <f>IF(ISBLANK(B42),"",VLOOKUP(B42,Entries!$A$4:$C$65,2,FALSE))</f>
        <v>L</v>
      </c>
      <c r="D42" s="31" t="str">
        <f>IF(ISBLANK(B42),"",VLOOKUP(B42,Entries!$A$4:$C$65,3,FALSE))</f>
        <v>TGT Ladies B</v>
      </c>
      <c r="E42" s="30">
        <f t="shared" si="1"/>
        <v>40</v>
      </c>
      <c r="F42" s="30">
        <f>IF(ISBLANK(B42),"",VLOOKUP(B42,Overall!$B$4:$AR$75,9,FALSE))</f>
        <v>83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15</v>
      </c>
      <c r="J42" s="45" t="s">
        <v>142</v>
      </c>
      <c r="K42" s="44">
        <v>129</v>
      </c>
      <c r="AA42" s="25">
        <v>29</v>
      </c>
      <c r="AB42" s="25">
        <v>15</v>
      </c>
      <c r="AC42" s="25" t="s">
        <v>3</v>
      </c>
      <c r="AD42" s="24" t="s">
        <v>142</v>
      </c>
      <c r="AE42" s="25">
        <v>29</v>
      </c>
      <c r="AF42" s="25">
        <v>129</v>
      </c>
    </row>
    <row r="43" spans="1:32" ht="15">
      <c r="A43" s="30">
        <v>41</v>
      </c>
      <c r="B43" s="30">
        <v>35</v>
      </c>
      <c r="C43" s="30" t="str">
        <f>IF(ISBLANK(B43),"",VLOOKUP(B43,Entries!$A$4:$C$65,2,FALSE))</f>
        <v>A</v>
      </c>
      <c r="D43" s="31" t="str">
        <f>IF(ISBLANK(B43),"",VLOOKUP(B43,Entries!$A$4:$C$65,3,FALSE))</f>
        <v>Leigh on Sea Towels by Poolside</v>
      </c>
      <c r="E43" s="30">
        <f t="shared" si="1"/>
        <v>41</v>
      </c>
      <c r="F43" s="30">
        <f>IF(ISBLANK(B43),"",VLOOKUP(B43,Overall!$B$4:$AR$75,9,FALSE))</f>
        <v>59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12</v>
      </c>
      <c r="AB43" s="25">
        <v>64</v>
      </c>
      <c r="AC43" s="25" t="s">
        <v>0</v>
      </c>
      <c r="AD43" s="24" t="s">
        <v>191</v>
      </c>
      <c r="AE43" s="25">
        <v>12</v>
      </c>
      <c r="AF43" s="25">
        <v>29</v>
      </c>
    </row>
    <row r="44" spans="1:32" ht="15">
      <c r="A44" s="30">
        <v>42</v>
      </c>
      <c r="B44" s="30">
        <v>59</v>
      </c>
      <c r="C44" s="30" t="str">
        <f>IF(ISBLANK(B44),"",VLOOKUP(B44,Entries!$A$4:$C$65,2,FALSE))</f>
        <v>L</v>
      </c>
      <c r="D44" s="31" t="str">
        <f>IF(ISBLANK(B44),"",VLOOKUP(B44,Entries!$A$4:$C$65,3,FALSE))</f>
        <v>Grange Farm Ladies</v>
      </c>
      <c r="E44" s="30">
        <f t="shared" si="1"/>
        <v>42</v>
      </c>
      <c r="F44" s="30">
        <f>IF(ISBLANK(B44),"",VLOOKUP(B44,Overall!$B$4:$AR$75,9,FALSE))</f>
        <v>58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7" t="s">
        <v>206</v>
      </c>
      <c r="I44" s="48"/>
      <c r="J44" s="47"/>
      <c r="K44" s="48" t="s">
        <v>73</v>
      </c>
      <c r="AA44" s="25">
        <v>17</v>
      </c>
      <c r="AB44" s="25">
        <v>69</v>
      </c>
      <c r="AC44" s="25" t="s">
        <v>0</v>
      </c>
      <c r="AD44" s="24" t="s">
        <v>198</v>
      </c>
      <c r="AE44" s="25">
        <v>17</v>
      </c>
      <c r="AF44" s="25">
        <v>55</v>
      </c>
    </row>
    <row r="45" spans="1:32" ht="15">
      <c r="A45" s="30">
        <v>43</v>
      </c>
      <c r="B45" s="30">
        <v>3</v>
      </c>
      <c r="C45" s="30" t="str">
        <f>IF(ISBLANK(B45),"",VLOOKUP(B45,Entries!$A$4:$C$65,2,FALSE))</f>
        <v>A</v>
      </c>
      <c r="D45" s="31" t="str">
        <f>IF(ISBLANK(B45),"",VLOOKUP(B45,Entries!$A$4:$C$65,3,FALSE))</f>
        <v>Tiptree A</v>
      </c>
      <c r="E45" s="30">
        <f t="shared" si="1"/>
        <v>43</v>
      </c>
      <c r="F45" s="30">
        <f>IF(ISBLANK(B45),"",VLOOKUP(B45,Overall!$B$4:$AR$75,9,FALSE))</f>
        <v>98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29</v>
      </c>
      <c r="AA45" s="25">
        <v>42</v>
      </c>
      <c r="AB45" s="25">
        <v>59</v>
      </c>
      <c r="AC45" s="25" t="s">
        <v>0</v>
      </c>
      <c r="AD45" s="24" t="s">
        <v>183</v>
      </c>
      <c r="AE45" s="25">
        <v>42</v>
      </c>
      <c r="AF45" s="25">
        <v>58</v>
      </c>
    </row>
    <row r="46" spans="1:32" ht="15">
      <c r="A46" s="30">
        <v>44</v>
      </c>
      <c r="B46" s="30">
        <v>52</v>
      </c>
      <c r="C46" s="30" t="str">
        <f>IF(ISBLANK(B46),"",VLOOKUP(B46,Entries!$A$4:$C$65,2,FALSE))</f>
        <v>V</v>
      </c>
      <c r="D46" s="31" t="str">
        <f>IF(ISBLANK(B46),"",VLOOKUP(B46,Entries!$A$4:$C$65,3,FALSE))</f>
        <v>TGT Vets</v>
      </c>
      <c r="E46" s="30">
        <f t="shared" si="1"/>
        <v>44</v>
      </c>
      <c r="F46" s="30">
        <f>IF(ISBLANK(B46),"",VLOOKUP(B46,Overall!$B$4:$AR$75,9,FALSE))</f>
        <v>75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69</v>
      </c>
      <c r="J46" s="31" t="s">
        <v>198</v>
      </c>
      <c r="K46" s="30">
        <v>55</v>
      </c>
      <c r="AA46" s="25">
        <v>32</v>
      </c>
      <c r="AB46" s="25">
        <v>66</v>
      </c>
      <c r="AC46" s="25" t="s">
        <v>0</v>
      </c>
      <c r="AD46" s="24" t="s">
        <v>193</v>
      </c>
      <c r="AE46" s="25">
        <v>32</v>
      </c>
      <c r="AF46" s="25">
        <v>62</v>
      </c>
    </row>
    <row r="47" spans="1:32" ht="15">
      <c r="A47" s="30">
        <v>45</v>
      </c>
      <c r="B47" s="30">
        <v>6</v>
      </c>
      <c r="C47" s="30" t="str">
        <f>IF(ISBLANK(B47),"",VLOOKUP(B47,Entries!$A$4:$C$65,2,FALSE))</f>
        <v>A</v>
      </c>
      <c r="D47" s="31" t="str">
        <f>IF(ISBLANK(B47),"",VLOOKUP(B47,Entries!$A$4:$C$65,3,FALSE))</f>
        <v>Thurrock Nomads B - The Z list</v>
      </c>
      <c r="E47" s="30">
        <f t="shared" si="1"/>
        <v>45</v>
      </c>
      <c r="F47" s="30">
        <f>IF(ISBLANK(B47),"",VLOOKUP(B47,Overall!$B$4:$AR$75,9,FALSE))</f>
        <v>93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59</v>
      </c>
      <c r="J47" s="31" t="s">
        <v>183</v>
      </c>
      <c r="K47" s="30">
        <v>58</v>
      </c>
      <c r="AA47" s="25">
        <v>34</v>
      </c>
      <c r="AB47" s="25">
        <v>62</v>
      </c>
      <c r="AC47" s="25" t="s">
        <v>0</v>
      </c>
      <c r="AD47" s="24" t="s">
        <v>188</v>
      </c>
      <c r="AE47" s="25">
        <v>34</v>
      </c>
      <c r="AF47" s="25">
        <v>63</v>
      </c>
    </row>
    <row r="48" spans="1:32" ht="15">
      <c r="A48" s="30">
        <v>46</v>
      </c>
      <c r="B48" s="30">
        <v>1</v>
      </c>
      <c r="C48" s="30" t="str">
        <f>IF(ISBLANK(B48),"",VLOOKUP(B48,Entries!$A$4:$C$65,2,FALSE))</f>
        <v>A</v>
      </c>
      <c r="D48" s="31" t="str">
        <f>IF(ISBLANK(B48),"",VLOOKUP(B48,Entries!$A$4:$C$65,3,FALSE))</f>
        <v>Eton Manor AC</v>
      </c>
      <c r="E48" s="30">
        <f t="shared" si="1"/>
        <v>46</v>
      </c>
      <c r="F48" s="30">
        <f>IF(ISBLANK(B48),"",VLOOKUP(B48,Overall!$B$4:$AR$75,9,FALSE))</f>
        <v>102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66</v>
      </c>
      <c r="J48" s="31" t="s">
        <v>193</v>
      </c>
      <c r="K48" s="30">
        <v>62</v>
      </c>
      <c r="AA48" s="25">
        <v>27</v>
      </c>
      <c r="AB48" s="25">
        <v>57</v>
      </c>
      <c r="AC48" s="25" t="s">
        <v>0</v>
      </c>
      <c r="AD48" s="24" t="s">
        <v>181</v>
      </c>
      <c r="AE48" s="25">
        <v>27</v>
      </c>
      <c r="AF48" s="25">
        <v>74</v>
      </c>
    </row>
    <row r="49" spans="1:32" ht="15">
      <c r="A49" s="30">
        <v>47</v>
      </c>
      <c r="B49" s="30">
        <v>30</v>
      </c>
      <c r="C49" s="30" t="str">
        <f>IF(ISBLANK(B49),"",VLOOKUP(B49,Entries!$A$4:$C$65,2,FALSE))</f>
        <v>A</v>
      </c>
      <c r="D49" s="31" t="str">
        <f>IF(ISBLANK(B49),"",VLOOKUP(B49,Entries!$A$4:$C$65,3,FALSE))</f>
        <v>Witham Running Club</v>
      </c>
      <c r="E49" s="30">
        <f t="shared" si="1"/>
        <v>47</v>
      </c>
      <c r="F49" s="30">
        <f>IF(ISBLANK(B49),"",VLOOKUP(B49,Overall!$B$4:$AR$75,9,FALSE))</f>
        <v>75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62</v>
      </c>
      <c r="J49" s="31" t="s">
        <v>188</v>
      </c>
      <c r="K49" s="30">
        <v>63</v>
      </c>
      <c r="AA49" s="25">
        <v>33</v>
      </c>
      <c r="AB49" s="25">
        <v>65</v>
      </c>
      <c r="AC49" s="25" t="s">
        <v>0</v>
      </c>
      <c r="AD49" s="24" t="s">
        <v>192</v>
      </c>
      <c r="AE49" s="25">
        <v>33</v>
      </c>
      <c r="AF49" s="25">
        <v>74</v>
      </c>
    </row>
    <row r="50" spans="1:32" ht="15">
      <c r="A50" s="30">
        <v>48</v>
      </c>
      <c r="B50" s="30">
        <v>20</v>
      </c>
      <c r="C50" s="30" t="str">
        <f>IF(ISBLANK(B50),"",VLOOKUP(B50,Entries!$A$4:$C$65,2,FALSE))</f>
        <v>A</v>
      </c>
      <c r="D50" s="31" t="str">
        <f>IF(ISBLANK(B50),"",VLOOKUP(B50,Entries!$A$4:$C$65,3,FALSE))</f>
        <v>BSRC</v>
      </c>
      <c r="E50" s="30">
        <f t="shared" si="1"/>
        <v>48</v>
      </c>
      <c r="F50" s="30">
        <f>IF(ISBLANK(B50),"",VLOOKUP(B50,Overall!$B$4:$AR$75,9,FALSE))</f>
        <v>85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57</v>
      </c>
      <c r="J50" s="31" t="s">
        <v>181</v>
      </c>
      <c r="K50" s="30">
        <v>74</v>
      </c>
      <c r="AA50" s="25">
        <v>35</v>
      </c>
      <c r="AB50" s="25">
        <v>60</v>
      </c>
      <c r="AC50" s="25" t="s">
        <v>0</v>
      </c>
      <c r="AD50" s="24" t="s">
        <v>184</v>
      </c>
      <c r="AE50" s="25">
        <v>35</v>
      </c>
      <c r="AF50" s="25">
        <v>81</v>
      </c>
    </row>
    <row r="51" spans="1:32" ht="15">
      <c r="A51" s="30">
        <v>49</v>
      </c>
      <c r="B51" s="30">
        <v>29</v>
      </c>
      <c r="C51" s="30" t="str">
        <f>IF(ISBLANK(B51),"",VLOOKUP(B51,Entries!$A$4:$C$65,2,FALSE))</f>
        <v>A</v>
      </c>
      <c r="D51" s="31" t="str">
        <f>IF(ISBLANK(B51),"",VLOOKUP(B51,Entries!$A$4:$C$65,3,FALSE))</f>
        <v>Ilford B</v>
      </c>
      <c r="E51" s="30">
        <f t="shared" si="1"/>
        <v>49</v>
      </c>
      <c r="F51" s="30">
        <f>IF(ISBLANK(B51),"",VLOOKUP(B51,Overall!$B$4:$AR$75,9,FALSE))</f>
        <v>93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65</v>
      </c>
      <c r="J51" s="31" t="s">
        <v>192</v>
      </c>
      <c r="K51" s="30">
        <v>74</v>
      </c>
      <c r="AA51" s="25">
        <v>40</v>
      </c>
      <c r="AB51" s="25">
        <v>67</v>
      </c>
      <c r="AC51" s="25" t="s">
        <v>0</v>
      </c>
      <c r="AD51" s="24" t="s">
        <v>196</v>
      </c>
      <c r="AE51" s="25">
        <v>40</v>
      </c>
      <c r="AF51" s="25">
        <v>83</v>
      </c>
    </row>
    <row r="52" spans="1:32" ht="15">
      <c r="A52" s="30">
        <v>50</v>
      </c>
      <c r="B52" s="30">
        <v>27</v>
      </c>
      <c r="C52" s="30" t="str">
        <f>IF(ISBLANK(B52),"",VLOOKUP(B52,Entries!$A$4:$C$65,2,FALSE))</f>
        <v>A</v>
      </c>
      <c r="D52" s="31" t="str">
        <f>IF(ISBLANK(B52),"",VLOOKUP(B52,Entries!$A$4:$C$65,3,FALSE))</f>
        <v>Harwich Runners Mixed</v>
      </c>
      <c r="E52" s="30">
        <f t="shared" si="1"/>
        <v>50</v>
      </c>
      <c r="F52" s="30">
        <f>IF(ISBLANK(B52),"",VLOOKUP(B52,Overall!$B$4:$AR$75,9,FALSE))</f>
        <v>104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60</v>
      </c>
      <c r="J52" s="31" t="s">
        <v>184</v>
      </c>
      <c r="K52" s="30">
        <v>81</v>
      </c>
      <c r="AA52" s="25">
        <v>56</v>
      </c>
      <c r="AB52" s="25">
        <v>61</v>
      </c>
      <c r="AC52" s="25" t="s">
        <v>0</v>
      </c>
      <c r="AD52" s="24" t="s">
        <v>187</v>
      </c>
      <c r="AE52" s="25">
        <v>56</v>
      </c>
      <c r="AF52" s="25">
        <v>88</v>
      </c>
    </row>
    <row r="53" spans="1:32" ht="15">
      <c r="A53" s="30">
        <v>51</v>
      </c>
      <c r="B53" s="30">
        <v>68</v>
      </c>
      <c r="C53" s="30" t="str">
        <f>IF(ISBLANK(B53),"",VLOOKUP(B53,Entries!$A$4:$C$65,2,FALSE))</f>
        <v>L</v>
      </c>
      <c r="D53" s="31" t="str">
        <f>IF(ISBLANK(B53),"",VLOOKUP(B53,Entries!$A$4:$C$65,3,FALSE))</f>
        <v>Pitsea RC Ladies</v>
      </c>
      <c r="E53" s="30">
        <f t="shared" si="1"/>
        <v>51</v>
      </c>
      <c r="F53" s="30">
        <f>IF(ISBLANK(B53),"",VLOOKUP(B53,Overall!$B$4:$AR$75,9,FALSE))</f>
        <v>102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67</v>
      </c>
      <c r="J53" s="31" t="s">
        <v>196</v>
      </c>
      <c r="K53" s="30">
        <v>83</v>
      </c>
      <c r="AA53" s="25">
        <v>54</v>
      </c>
      <c r="AB53" s="25">
        <v>58</v>
      </c>
      <c r="AC53" s="25" t="s">
        <v>0</v>
      </c>
      <c r="AD53" s="24" t="s">
        <v>182</v>
      </c>
      <c r="AE53" s="25">
        <v>54</v>
      </c>
      <c r="AF53" s="25">
        <v>94</v>
      </c>
    </row>
    <row r="54" spans="1:32" ht="15">
      <c r="A54" s="30">
        <v>52</v>
      </c>
      <c r="B54" s="30">
        <v>41</v>
      </c>
      <c r="C54" s="30" t="str">
        <f>IF(ISBLANK(B54),"",VLOOKUP(B54,Entries!$A$4:$C$65,2,FALSE))</f>
        <v>A</v>
      </c>
      <c r="D54" s="31" t="str">
        <f>IF(ISBLANK(B54),"",VLOOKUP(B54,Entries!$A$4:$C$65,3,FALSE))</f>
        <v>Pitsea RC Mixed</v>
      </c>
      <c r="E54" s="30">
        <f t="shared" si="1"/>
        <v>52</v>
      </c>
      <c r="F54" s="30">
        <f>IF(ISBLANK(B54),"",VLOOKUP(B54,Overall!$B$4:$AR$75,9,FALSE))</f>
        <v>109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61</v>
      </c>
      <c r="J54" s="31" t="s">
        <v>187</v>
      </c>
      <c r="K54" s="30">
        <v>88</v>
      </c>
      <c r="AA54" s="25">
        <v>57</v>
      </c>
      <c r="AB54" s="25">
        <v>63</v>
      </c>
      <c r="AC54" s="25" t="s">
        <v>0</v>
      </c>
      <c r="AD54" s="24" t="s">
        <v>65</v>
      </c>
      <c r="AE54" s="25">
        <v>57</v>
      </c>
      <c r="AF54" s="25">
        <v>99</v>
      </c>
    </row>
    <row r="55" spans="1:32" ht="15">
      <c r="A55" s="30">
        <v>53</v>
      </c>
      <c r="B55" s="30">
        <v>70</v>
      </c>
      <c r="C55" s="30" t="str">
        <f>IF(ISBLANK(B55),"",VLOOKUP(B55,Entries!$A$4:$C$65,2,FALSE))</f>
        <v>L</v>
      </c>
      <c r="D55" s="31" t="str">
        <f>IF(ISBLANK(B55),"",VLOOKUP(B55,Entries!$A$4:$C$65,3,FALSE))</f>
        <v>Harwich Runners Ladies</v>
      </c>
      <c r="E55" s="30">
        <f t="shared" si="1"/>
        <v>53</v>
      </c>
      <c r="F55" s="30">
        <f>IF(ISBLANK(B55),"",VLOOKUP(B55,Overall!$B$4:$AR$75,9,FALSE))</f>
        <v>106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58</v>
      </c>
      <c r="J55" s="31" t="s">
        <v>182</v>
      </c>
      <c r="K55" s="30">
        <v>94</v>
      </c>
      <c r="AA55" s="25">
        <v>51</v>
      </c>
      <c r="AB55" s="25">
        <v>68</v>
      </c>
      <c r="AC55" s="25" t="s">
        <v>0</v>
      </c>
      <c r="AD55" s="24" t="s">
        <v>197</v>
      </c>
      <c r="AE55" s="25">
        <v>51</v>
      </c>
      <c r="AF55" s="25">
        <v>102</v>
      </c>
    </row>
    <row r="56" spans="1:32" ht="15">
      <c r="A56" s="30">
        <v>54</v>
      </c>
      <c r="B56" s="30">
        <v>58</v>
      </c>
      <c r="C56" s="30" t="str">
        <f>IF(ISBLANK(B56),"",VLOOKUP(B56,Entries!$A$4:$C$65,2,FALSE))</f>
        <v>L</v>
      </c>
      <c r="D56" s="31" t="str">
        <f>IF(ISBLANK(B56),"",VLOOKUP(B56,Entries!$A$4:$C$65,3,FALSE))</f>
        <v>Springfield Striders Ladies B</v>
      </c>
      <c r="E56" s="30">
        <f aca="true" t="shared" si="2" ref="E56:E61">IF(ISBLANK(B56),"",A56)</f>
        <v>54</v>
      </c>
      <c r="F56" s="30">
        <f>IF(ISBLANK(B56),"",VLOOKUP(B56,Overall!$B$4:$AR$75,9,FALSE))</f>
        <v>94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63</v>
      </c>
      <c r="J56" s="31" t="s">
        <v>65</v>
      </c>
      <c r="K56" s="30">
        <v>99</v>
      </c>
      <c r="AA56" s="25">
        <v>53</v>
      </c>
      <c r="AB56" s="25">
        <v>70</v>
      </c>
      <c r="AC56" s="25" t="s">
        <v>0</v>
      </c>
      <c r="AD56" s="24" t="s">
        <v>199</v>
      </c>
      <c r="AE56" s="25">
        <v>53</v>
      </c>
      <c r="AF56" s="25">
        <v>106</v>
      </c>
    </row>
    <row r="57" spans="1:32" ht="15">
      <c r="A57" s="30">
        <v>55</v>
      </c>
      <c r="B57" s="30">
        <v>2</v>
      </c>
      <c r="C57" s="30" t="str">
        <f>IF(ISBLANK(B57),"",VLOOKUP(B57,Entries!$A$4:$C$65,2,FALSE))</f>
        <v>A</v>
      </c>
      <c r="D57" s="31" t="str">
        <f>IF(ISBLANK(B57),"",VLOOKUP(B57,Entries!$A$4:$C$65,3,FALSE))</f>
        <v>Thurrock Nomads A</v>
      </c>
      <c r="E57" s="30">
        <f t="shared" si="2"/>
        <v>55</v>
      </c>
      <c r="F57" s="30">
        <f>IF(ISBLANK(B57),"",VLOOKUP(B57,Overall!$B$4:$AR$75,9,FALSE))</f>
        <v>100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68</v>
      </c>
      <c r="J57" s="31" t="s">
        <v>197</v>
      </c>
      <c r="K57" s="30">
        <v>102</v>
      </c>
      <c r="AA57" s="25">
        <v>16</v>
      </c>
      <c r="AB57" s="25">
        <v>53</v>
      </c>
      <c r="AC57" s="25" t="s">
        <v>2</v>
      </c>
      <c r="AD57" s="24" t="s">
        <v>87</v>
      </c>
      <c r="AE57" s="25">
        <v>16</v>
      </c>
      <c r="AF57" s="25">
        <v>23</v>
      </c>
    </row>
    <row r="58" spans="1:32" ht="15">
      <c r="A58" s="30">
        <v>56</v>
      </c>
      <c r="B58" s="30">
        <v>61</v>
      </c>
      <c r="C58" s="30" t="str">
        <f>IF(ISBLANK(B58),"",VLOOKUP(B58,Entries!$A$4:$C$65,2,FALSE))</f>
        <v>L</v>
      </c>
      <c r="D58" s="31" t="str">
        <f>IF(ISBLANK(B58),"",VLOOKUP(B58,Entries!$A$4:$C$65,3,FALSE))</f>
        <v>East Essex Tri Women</v>
      </c>
      <c r="E58" s="30">
        <f t="shared" si="2"/>
        <v>56</v>
      </c>
      <c r="F58" s="30">
        <f>IF(ISBLANK(B58),"",VLOOKUP(B58,Overall!$B$4:$AR$75,9,FALSE))</f>
        <v>88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70</v>
      </c>
      <c r="J58" s="45" t="s">
        <v>199</v>
      </c>
      <c r="K58" s="44">
        <v>106</v>
      </c>
      <c r="AA58" s="25">
        <v>11</v>
      </c>
      <c r="AB58" s="25">
        <v>50</v>
      </c>
      <c r="AC58" s="25" t="s">
        <v>2</v>
      </c>
      <c r="AD58" s="24" t="s">
        <v>44</v>
      </c>
      <c r="AE58" s="25">
        <v>11</v>
      </c>
      <c r="AF58" s="25">
        <v>31</v>
      </c>
    </row>
    <row r="59" spans="1:32" ht="15">
      <c r="A59" s="30">
        <v>57</v>
      </c>
      <c r="B59" s="30">
        <v>63</v>
      </c>
      <c r="C59" s="30" t="str">
        <f>IF(ISBLANK(B59),"",VLOOKUP(B59,Entries!$A$4:$C$65,2,FALSE))</f>
        <v>L</v>
      </c>
      <c r="D59" s="31" t="str">
        <f>IF(ISBLANK(B59),"",VLOOKUP(B59,Entries!$A$4:$C$65,3,FALSE))</f>
        <v>Billericay Striders</v>
      </c>
      <c r="E59" s="30">
        <f t="shared" si="2"/>
        <v>57</v>
      </c>
      <c r="F59" s="30">
        <f>IF(ISBLANK(B59),"",VLOOKUP(B59,Overall!$B$4:$AR$75,9,FALSE))</f>
        <v>99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36</v>
      </c>
      <c r="AB59" s="25">
        <v>51</v>
      </c>
      <c r="AC59" s="25" t="s">
        <v>2</v>
      </c>
      <c r="AD59" s="24" t="s">
        <v>178</v>
      </c>
      <c r="AE59" s="25">
        <v>36</v>
      </c>
      <c r="AF59" s="25">
        <v>59</v>
      </c>
    </row>
    <row r="60" spans="1:32" ht="15">
      <c r="A60" s="30">
        <v>58</v>
      </c>
      <c r="B60" s="30">
        <v>11</v>
      </c>
      <c r="C60" s="30" t="str">
        <f>IF(ISBLANK(B60),"",VLOOKUP(B60,Entries!$A$4:$C$65,2,FALSE))</f>
        <v>A</v>
      </c>
      <c r="D60" s="31" t="str">
        <f>IF(ISBLANK(B60),"",VLOOKUP(B60,Entries!$A$4:$C$65,3,FALSE))</f>
        <v>Billericay Striders</v>
      </c>
      <c r="E60" s="30">
        <f t="shared" si="2"/>
        <v>58</v>
      </c>
      <c r="F60" s="30">
        <f>IF(ISBLANK(B60),"",VLOOKUP(B60,Overall!$B$4:$AR$75,9,FALSE))</f>
        <v>94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7" t="s">
        <v>207</v>
      </c>
      <c r="I60" s="47"/>
      <c r="J60" s="47"/>
      <c r="K60" s="48" t="s">
        <v>73</v>
      </c>
      <c r="AA60" s="25">
        <v>25</v>
      </c>
      <c r="AB60" s="25">
        <v>12</v>
      </c>
      <c r="AC60" s="25" t="s">
        <v>2</v>
      </c>
      <c r="AD60" s="24" t="s">
        <v>84</v>
      </c>
      <c r="AE60" s="25">
        <v>25</v>
      </c>
      <c r="AF60" s="25">
        <v>64</v>
      </c>
    </row>
    <row r="61" spans="1:32" ht="15">
      <c r="A61" s="30">
        <v>100</v>
      </c>
      <c r="B61" s="30">
        <v>4</v>
      </c>
      <c r="C61" s="30" t="str">
        <f>IF(ISBLANK(B61),"",VLOOKUP(B61,Entries!$A$4:$C$65,2,FALSE))</f>
        <v>A</v>
      </c>
      <c r="D61" s="31" t="str">
        <f>IF(ISBLANK(B61),"",VLOOKUP(B61,Entries!$A$4:$C$65,3,FALSE))</f>
        <v>Tiptree B</v>
      </c>
      <c r="E61" s="30">
        <f t="shared" si="2"/>
        <v>100</v>
      </c>
      <c r="F61" s="30">
        <f>IF(ISBLANK(B61),"",VLOOKUP(B61,Overall!$B$4:$AR$75,9,FALSE))</f>
        <v>127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53</v>
      </c>
      <c r="J61" s="31" t="s">
        <v>87</v>
      </c>
      <c r="K61" s="30">
        <v>23</v>
      </c>
      <c r="AA61" s="25">
        <v>44</v>
      </c>
      <c r="AB61" s="25">
        <v>52</v>
      </c>
      <c r="AC61" s="25" t="s">
        <v>2</v>
      </c>
      <c r="AD61" s="24" t="s">
        <v>179</v>
      </c>
      <c r="AE61" s="25">
        <v>44</v>
      </c>
      <c r="AF61" s="25">
        <v>75</v>
      </c>
    </row>
    <row r="62" spans="8:11" ht="15">
      <c r="H62" s="30">
        <v>2</v>
      </c>
      <c r="I62" s="30">
        <v>50</v>
      </c>
      <c r="J62" s="31" t="s">
        <v>44</v>
      </c>
      <c r="K62" s="30">
        <v>31</v>
      </c>
    </row>
    <row r="63" spans="8:11" ht="15">
      <c r="H63" s="30">
        <v>3</v>
      </c>
      <c r="I63" s="30">
        <v>51</v>
      </c>
      <c r="J63" s="31" t="s">
        <v>178</v>
      </c>
      <c r="K63" s="30">
        <v>59</v>
      </c>
    </row>
    <row r="64" spans="8:11" ht="15">
      <c r="H64" s="30">
        <v>4</v>
      </c>
      <c r="I64" s="30">
        <v>12</v>
      </c>
      <c r="J64" s="31" t="s">
        <v>84</v>
      </c>
      <c r="K64" s="30">
        <v>64</v>
      </c>
    </row>
    <row r="65" spans="8:11" ht="15">
      <c r="H65" s="30">
        <v>5</v>
      </c>
      <c r="I65" s="30">
        <v>52</v>
      </c>
      <c r="J65" s="31" t="s">
        <v>179</v>
      </c>
      <c r="K65" s="30">
        <v>75</v>
      </c>
    </row>
    <row r="66" spans="8:11" ht="15">
      <c r="H66" s="35"/>
      <c r="I66" s="35"/>
      <c r="J66" s="35"/>
      <c r="K66" s="36"/>
    </row>
    <row r="67" spans="8:11" ht="15">
      <c r="H67" s="35"/>
      <c r="I67" s="35"/>
      <c r="J67" s="35"/>
      <c r="K67" s="36"/>
    </row>
    <row r="68" spans="8:11" ht="15">
      <c r="H68" s="35"/>
      <c r="I68" s="35"/>
      <c r="J68" s="35"/>
      <c r="K68" s="36"/>
    </row>
    <row r="69" spans="8:11" ht="15">
      <c r="H69" s="35"/>
      <c r="I69" s="35"/>
      <c r="J69" s="35"/>
      <c r="K69" s="36"/>
    </row>
    <row r="70" spans="8:11" ht="15">
      <c r="H70" s="35"/>
      <c r="I70" s="35"/>
      <c r="J70" s="35"/>
      <c r="K70" s="36"/>
    </row>
    <row r="71" spans="8:11" ht="15">
      <c r="H71" s="35"/>
      <c r="I71" s="35"/>
      <c r="J71" s="35"/>
      <c r="K71" s="36"/>
    </row>
    <row r="72" spans="8:11" ht="15">
      <c r="H72" s="35"/>
      <c r="I72" s="35"/>
      <c r="J72" s="35"/>
      <c r="K72" s="36"/>
    </row>
    <row r="73" spans="8:11" ht="15">
      <c r="H73" s="35"/>
      <c r="I73" s="35"/>
      <c r="J73" s="35"/>
      <c r="K73" s="36"/>
    </row>
    <row r="74" spans="8:11" ht="15">
      <c r="H74" s="35"/>
      <c r="I74" s="35"/>
      <c r="J74" s="35"/>
      <c r="K74" s="36"/>
    </row>
    <row r="75" spans="8:11" ht="15">
      <c r="H75" s="35"/>
      <c r="I75" s="35"/>
      <c r="J75" s="35"/>
      <c r="K75" s="36"/>
    </row>
    <row r="76" spans="8:11" ht="15">
      <c r="H76" s="35"/>
      <c r="I76" s="35"/>
      <c r="J76" s="35"/>
      <c r="K76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3.7109375" style="25" hidden="1" customWidth="1"/>
    <col min="6" max="6" width="9.28125" style="25" customWidth="1"/>
    <col min="7" max="7" width="6.00390625" style="24" customWidth="1"/>
    <col min="8" max="8" width="6.140625" style="25" customWidth="1"/>
    <col min="9" max="9" width="6.140625" style="24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3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7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21</v>
      </c>
      <c r="C3" s="30" t="str">
        <f>IF(ISBLANK(B3),"",VLOOKUP(B3,Entries!$A$4:$C$70,2,FALSE))</f>
        <v>A</v>
      </c>
      <c r="D3" s="31" t="str">
        <f>IF(ISBLANK(B3),"",VLOOKUP(B3,Entries!$A$4:$C$70,3,FALSE))</f>
        <v>TGT Men A</v>
      </c>
      <c r="E3" s="30">
        <f aca="true" t="shared" si="0" ref="E3:E32">IF(ISBLANK(B3),"",A3)</f>
        <v>1</v>
      </c>
      <c r="F3" s="30">
        <f>IF(ISBLANK(B3),"",VLOOKUP(B3,Overall!$B$4:$AR$75,13,FALSE))</f>
        <v>16</v>
      </c>
      <c r="H3" s="30">
        <v>1</v>
      </c>
      <c r="I3" s="30">
        <v>23</v>
      </c>
      <c r="J3" s="31" t="s">
        <v>81</v>
      </c>
      <c r="K3" s="30">
        <v>5</v>
      </c>
      <c r="AA3" s="25">
        <v>2</v>
      </c>
      <c r="AB3" s="25">
        <v>23</v>
      </c>
      <c r="AC3" s="25" t="s">
        <v>3</v>
      </c>
      <c r="AD3" s="24" t="s">
        <v>81</v>
      </c>
      <c r="AE3" s="25">
        <v>2</v>
      </c>
      <c r="AF3" s="25">
        <v>5</v>
      </c>
    </row>
    <row r="4" spans="1:32" ht="15">
      <c r="A4" s="30">
        <v>2</v>
      </c>
      <c r="B4" s="30">
        <v>23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30">
        <f>IF(ISBLANK(B4),"",VLOOKUP(B4,Overall!$B$4:$AR$75,13,FALSE))</f>
        <v>5</v>
      </c>
      <c r="G4" s="25">
        <f>IF(ISBLANK($B3),"",IF($B4=$B3,"*",""))</f>
      </c>
      <c r="H4" s="30">
        <v>2</v>
      </c>
      <c r="I4" s="30">
        <v>9</v>
      </c>
      <c r="J4" s="31" t="s">
        <v>135</v>
      </c>
      <c r="K4" s="30">
        <v>12</v>
      </c>
      <c r="AA4" s="25">
        <v>5</v>
      </c>
      <c r="AB4" s="25">
        <v>9</v>
      </c>
      <c r="AC4" s="25" t="s">
        <v>3</v>
      </c>
      <c r="AD4" s="24" t="s">
        <v>135</v>
      </c>
      <c r="AE4" s="25">
        <v>5</v>
      </c>
      <c r="AF4" s="25">
        <v>12</v>
      </c>
    </row>
    <row r="5" spans="1:32" ht="15">
      <c r="A5" s="30">
        <v>3</v>
      </c>
      <c r="B5" s="30">
        <v>5</v>
      </c>
      <c r="C5" s="30" t="str">
        <f>IF(ISBLANK(B5),"",VLOOKUP(B5,Entries!$A$4:$C$70,2,FALSE))</f>
        <v>A</v>
      </c>
      <c r="D5" s="31" t="str">
        <f>IF(ISBLANK(B5),"",VLOOKUP(B5,Entries!$A$4:$C$70,3,FALSE))</f>
        <v>Tiptree Men</v>
      </c>
      <c r="E5" s="30">
        <f t="shared" si="0"/>
        <v>3</v>
      </c>
      <c r="F5" s="30">
        <f>IF(ISBLANK(B5),"",VLOOKUP(B5,Overall!$B$4:$AR$75,13,FALSE))</f>
        <v>30</v>
      </c>
      <c r="G5" s="25">
        <f>IF(ISBLANK($B4),"",IF(OR($B5=$B4,$B5=$B3),"*",""))</f>
      </c>
      <c r="H5" s="30">
        <v>3</v>
      </c>
      <c r="I5" s="30">
        <v>21</v>
      </c>
      <c r="J5" s="31" t="s">
        <v>149</v>
      </c>
      <c r="K5" s="30">
        <v>16</v>
      </c>
      <c r="AA5" s="25">
        <v>1</v>
      </c>
      <c r="AB5" s="25">
        <v>21</v>
      </c>
      <c r="AC5" s="25" t="s">
        <v>3</v>
      </c>
      <c r="AD5" s="24" t="s">
        <v>149</v>
      </c>
      <c r="AE5" s="25">
        <v>1</v>
      </c>
      <c r="AF5" s="25">
        <v>16</v>
      </c>
    </row>
    <row r="6" spans="1:32" ht="15">
      <c r="A6" s="30">
        <v>4</v>
      </c>
      <c r="B6" s="30">
        <v>28</v>
      </c>
      <c r="C6" s="30" t="str">
        <f>IF(ISBLANK(B6),"",VLOOKUP(B6,Entries!$A$4:$C$70,2,FALSE))</f>
        <v>A</v>
      </c>
      <c r="D6" s="31" t="str">
        <f>IF(ISBLANK(B6),"",VLOOKUP(B6,Entries!$A$4:$C$70,3,FALSE))</f>
        <v>Ilford A</v>
      </c>
      <c r="E6" s="30">
        <f t="shared" si="0"/>
        <v>4</v>
      </c>
      <c r="F6" s="30">
        <f>IF(ISBLANK(B6),"",VLOOKUP(B6,Overall!$B$4:$AR$75,13,FALSE))</f>
        <v>20</v>
      </c>
      <c r="G6" s="25">
        <f>IF(ISBLANK($B5),"",IF(OR($B6=$B5,$B6=$B4,$B6=$B3),"*",""))</f>
      </c>
      <c r="H6" s="30">
        <v>4</v>
      </c>
      <c r="I6" s="30">
        <v>17</v>
      </c>
      <c r="J6" s="31" t="s">
        <v>107</v>
      </c>
      <c r="K6" s="30">
        <v>16</v>
      </c>
      <c r="AA6" s="25">
        <v>6</v>
      </c>
      <c r="AB6" s="25">
        <v>17</v>
      </c>
      <c r="AC6" s="25" t="s">
        <v>3</v>
      </c>
      <c r="AD6" s="24" t="s">
        <v>107</v>
      </c>
      <c r="AE6" s="25">
        <v>6</v>
      </c>
      <c r="AF6" s="25">
        <v>16</v>
      </c>
    </row>
    <row r="7" spans="1:32" ht="15">
      <c r="A7" s="30">
        <v>5</v>
      </c>
      <c r="B7" s="30">
        <v>9</v>
      </c>
      <c r="C7" s="30" t="str">
        <f>IF(ISBLANK(B7),"",VLOOKUP(B7,Entries!$A$4:$C$70,2,FALSE))</f>
        <v>A</v>
      </c>
      <c r="D7" s="31" t="str">
        <f>IF(ISBLANK(B7),"",VLOOKUP(B7,Entries!$A$4:$C$70,3,FALSE))</f>
        <v>Leigh on Sea Striders - I liked the Boys</v>
      </c>
      <c r="E7" s="30">
        <f t="shared" si="0"/>
        <v>5</v>
      </c>
      <c r="F7" s="30">
        <f>IF(ISBLANK(B7),"",VLOOKUP(B7,Overall!$B$4:$AR$75,13,FALSE))</f>
        <v>12</v>
      </c>
      <c r="G7" s="25">
        <f>IF(ISBLANK($B6),"",IF(OR($B7=$B6,$B7=$B5,$B7=$B4,$B7=$B3),"*",""))</f>
      </c>
      <c r="H7" s="30">
        <v>5</v>
      </c>
      <c r="I7" s="30">
        <v>31</v>
      </c>
      <c r="J7" s="31" t="s">
        <v>101</v>
      </c>
      <c r="K7" s="30">
        <v>17</v>
      </c>
      <c r="AA7" s="25">
        <v>8</v>
      </c>
      <c r="AB7" s="25">
        <v>31</v>
      </c>
      <c r="AC7" s="25" t="s">
        <v>3</v>
      </c>
      <c r="AD7" s="24" t="s">
        <v>101</v>
      </c>
      <c r="AE7" s="25">
        <v>8</v>
      </c>
      <c r="AF7" s="25">
        <v>17</v>
      </c>
    </row>
    <row r="8" spans="1:32" ht="15">
      <c r="A8" s="30">
        <v>6</v>
      </c>
      <c r="B8" s="30">
        <v>17</v>
      </c>
      <c r="C8" s="30" t="str">
        <f>IF(ISBLANK(B8),"",VLOOKUP(B8,Entries!$A$4:$C$70,2,FALSE))</f>
        <v>A</v>
      </c>
      <c r="D8" s="31" t="str">
        <f>IF(ISBLANK(B8),"",VLOOKUP(B8,Entries!$A$4:$C$70,3,FALSE))</f>
        <v>Benfleet Men A</v>
      </c>
      <c r="E8" s="30">
        <f t="shared" si="0"/>
        <v>6</v>
      </c>
      <c r="F8" s="30">
        <f>IF(ISBLANK(B8),"",VLOOKUP(B8,Overall!$B$4:$AR$75,13,FALSE))</f>
        <v>16</v>
      </c>
      <c r="G8" s="25">
        <f>IF(ISBLANK($B7),"",IF(OR($B8=$B7,$B8=$B6,$B8=$B5,$B8=$B4,$B8=$B3),"*",""))</f>
      </c>
      <c r="H8" s="30">
        <v>6</v>
      </c>
      <c r="I8" s="30">
        <v>28</v>
      </c>
      <c r="J8" s="31" t="s">
        <v>91</v>
      </c>
      <c r="K8" s="30">
        <v>20</v>
      </c>
      <c r="AA8" s="25">
        <v>4</v>
      </c>
      <c r="AB8" s="25">
        <v>28</v>
      </c>
      <c r="AC8" s="25" t="s">
        <v>3</v>
      </c>
      <c r="AD8" s="24" t="s">
        <v>91</v>
      </c>
      <c r="AE8" s="25">
        <v>4</v>
      </c>
      <c r="AF8" s="25">
        <v>20</v>
      </c>
    </row>
    <row r="9" spans="1:32" ht="15">
      <c r="A9" s="30">
        <v>7</v>
      </c>
      <c r="B9" s="30">
        <v>18</v>
      </c>
      <c r="C9" s="30" t="str">
        <f>IF(ISBLANK(B9),"",VLOOKUP(B9,Entries!$A$4:$C$70,2,FALSE))</f>
        <v>A</v>
      </c>
      <c r="D9" s="31" t="str">
        <f>IF(ISBLANK(B9),"",VLOOKUP(B9,Entries!$A$4:$C$70,3,FALSE))</f>
        <v>Benfleet Men B</v>
      </c>
      <c r="E9" s="30">
        <f t="shared" si="0"/>
        <v>7</v>
      </c>
      <c r="F9" s="30">
        <f>IF(ISBLANK(B9),"",VLOOKUP(B9,Overall!$B$4:$AR$75,13,FALSE))</f>
        <v>33</v>
      </c>
      <c r="G9" s="25">
        <f>IF(ISBLANK($B8),"",IF(OR($B9=$B8,$B9=$B7,$B9=$B6,$B9=$B5,$B9=$B4,$B9=$B3),"*",""))</f>
      </c>
      <c r="H9" s="30">
        <v>7</v>
      </c>
      <c r="I9" s="30">
        <v>32</v>
      </c>
      <c r="J9" s="31" t="s">
        <v>163</v>
      </c>
      <c r="K9" s="30">
        <v>24</v>
      </c>
      <c r="AA9" s="25">
        <v>9</v>
      </c>
      <c r="AB9" s="25">
        <v>32</v>
      </c>
      <c r="AC9" s="25" t="s">
        <v>3</v>
      </c>
      <c r="AD9" s="24" t="s">
        <v>163</v>
      </c>
      <c r="AE9" s="25">
        <v>9</v>
      </c>
      <c r="AF9" s="25">
        <v>24</v>
      </c>
    </row>
    <row r="10" spans="1:32" ht="15">
      <c r="A10" s="30">
        <v>8</v>
      </c>
      <c r="B10" s="30">
        <v>31</v>
      </c>
      <c r="C10" s="30" t="str">
        <f>IF(ISBLANK(B10),"",VLOOKUP(B10,Entries!$A$4:$C$70,2,FALSE))</f>
        <v>A</v>
      </c>
      <c r="D10" s="31" t="str">
        <f>IF(ISBLANK(B10),"",VLOOKUP(B10,Entries!$A$4:$C$70,3,FALSE))</f>
        <v>Springfield Striders Men B</v>
      </c>
      <c r="E10" s="30">
        <f t="shared" si="0"/>
        <v>8</v>
      </c>
      <c r="F10" s="30">
        <f>IF(ISBLANK(B10),"",VLOOKUP(B10,Overall!$B$4:$AR$75,13,FALSE))</f>
        <v>17</v>
      </c>
      <c r="G10" s="25" t="s">
        <v>208</v>
      </c>
      <c r="H10" s="30">
        <v>8</v>
      </c>
      <c r="I10" s="30">
        <v>5</v>
      </c>
      <c r="J10" s="31" t="s">
        <v>124</v>
      </c>
      <c r="K10" s="30">
        <v>30</v>
      </c>
      <c r="AA10" s="25">
        <v>3</v>
      </c>
      <c r="AB10" s="25">
        <v>5</v>
      </c>
      <c r="AC10" s="25" t="s">
        <v>3</v>
      </c>
      <c r="AD10" s="24" t="s">
        <v>124</v>
      </c>
      <c r="AE10" s="25">
        <v>3</v>
      </c>
      <c r="AF10" s="25">
        <v>30</v>
      </c>
    </row>
    <row r="11" spans="1:32" ht="15">
      <c r="A11" s="30">
        <v>9</v>
      </c>
      <c r="B11" s="30">
        <v>32</v>
      </c>
      <c r="C11" s="30" t="str">
        <f>IF(ISBLANK(B11),"",VLOOKUP(B11,Entries!$A$4:$C$70,2,FALSE))</f>
        <v>A</v>
      </c>
      <c r="D11" s="31" t="str">
        <f>IF(ISBLANK(B11),"",VLOOKUP(B11,Entries!$A$4:$C$70,3,FALSE))</f>
        <v>Grange Farm A</v>
      </c>
      <c r="E11" s="30">
        <f t="shared" si="0"/>
        <v>9</v>
      </c>
      <c r="F11" s="30">
        <f>IF(ISBLANK(B11),"",VLOOKUP(B11,Overall!$B$4:$AR$75,13,FALSE))</f>
        <v>24</v>
      </c>
      <c r="G11" s="25">
        <f>IF(ISBLANK($B10),"",IF(OR($B11=$B10,$B11=$B9,$B11=$B8,$B11=$B7,$B11=$B6,$B11=$B5,$B11=$B4,$B11=$B3),"*",""))</f>
      </c>
      <c r="H11" s="30">
        <v>9</v>
      </c>
      <c r="I11" s="30">
        <v>18</v>
      </c>
      <c r="J11" s="31" t="s">
        <v>109</v>
      </c>
      <c r="K11" s="30">
        <v>33</v>
      </c>
      <c r="AA11" s="25">
        <v>7</v>
      </c>
      <c r="AB11" s="25">
        <v>18</v>
      </c>
      <c r="AC11" s="25" t="s">
        <v>3</v>
      </c>
      <c r="AD11" s="24" t="s">
        <v>109</v>
      </c>
      <c r="AE11" s="25">
        <v>7</v>
      </c>
      <c r="AF11" s="25">
        <v>33</v>
      </c>
    </row>
    <row r="12" spans="1:32" ht="15">
      <c r="A12" s="30">
        <v>10</v>
      </c>
      <c r="B12" s="30">
        <v>8</v>
      </c>
      <c r="C12" s="30" t="str">
        <f>IF(ISBLANK(B12),"",VLOOKUP(B12,Entries!$A$4:$C$70,2,FALSE))</f>
        <v>A</v>
      </c>
      <c r="D12" s="31" t="str">
        <f>IF(ISBLANK(B12),"",VLOOKUP(B12,Entries!$A$4:$C$70,3,FALSE))</f>
        <v>East Essex Tri Men</v>
      </c>
      <c r="E12" s="30">
        <f t="shared" si="0"/>
        <v>10</v>
      </c>
      <c r="F12" s="30">
        <f>IF(ISBLANK(B12),"",VLOOKUP(B12,Overall!$B$4:$AR$75,13,FALSE))</f>
        <v>138</v>
      </c>
      <c r="G12" s="25">
        <f>IF(ISBLANK($B12),"",IF(OR($B12=$B11,$B12=$B10,$B12=$B9,$B12=$B8,$B12=$B7,$B12=$B6,$B12=$B5,$B12=$B4,$B12=$B3),"*",""))</f>
      </c>
      <c r="H12" s="30">
        <v>10</v>
      </c>
      <c r="I12" s="30">
        <v>24</v>
      </c>
      <c r="J12" s="31" t="s">
        <v>157</v>
      </c>
      <c r="K12" s="30">
        <v>41</v>
      </c>
      <c r="AA12" s="25">
        <v>21</v>
      </c>
      <c r="AB12" s="25">
        <v>24</v>
      </c>
      <c r="AC12" s="25" t="s">
        <v>3</v>
      </c>
      <c r="AD12" s="24" t="s">
        <v>157</v>
      </c>
      <c r="AE12" s="25">
        <v>21</v>
      </c>
      <c r="AF12" s="25">
        <v>41</v>
      </c>
    </row>
    <row r="13" spans="1:32" ht="15">
      <c r="A13" s="30">
        <v>11</v>
      </c>
      <c r="B13" s="30">
        <v>13</v>
      </c>
      <c r="C13" s="30" t="str">
        <f>IF(ISBLANK(B13),"",VLOOKUP(B13,Entries!$A$4:$C$70,2,FALSE))</f>
        <v>A</v>
      </c>
      <c r="D13" s="31" t="str">
        <f>IF(ISBLANK(B13),"",VLOOKUP(B13,Entries!$A$4:$C$70,3,FALSE))</f>
        <v>Mid Essex Casuals B</v>
      </c>
      <c r="E13" s="30">
        <f t="shared" si="0"/>
        <v>11</v>
      </c>
      <c r="F13" s="30">
        <f>IF(ISBLANK(B13),"",VLOOKUP(B13,Overall!$B$4:$AR$75,13,FALSE))</f>
        <v>49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36</v>
      </c>
      <c r="J13" s="31" t="s">
        <v>102</v>
      </c>
      <c r="K13" s="30">
        <v>46</v>
      </c>
      <c r="AA13" s="25">
        <v>19</v>
      </c>
      <c r="AB13" s="25">
        <v>36</v>
      </c>
      <c r="AC13" s="25" t="s">
        <v>3</v>
      </c>
      <c r="AD13" s="24" t="s">
        <v>102</v>
      </c>
      <c r="AE13" s="25">
        <v>19</v>
      </c>
      <c r="AF13" s="25">
        <v>46</v>
      </c>
    </row>
    <row r="14" spans="1:32" ht="15">
      <c r="A14" s="30">
        <v>12</v>
      </c>
      <c r="B14" s="30">
        <v>64</v>
      </c>
      <c r="C14" s="30" t="str">
        <f>IF(ISBLANK(B14),"",VLOOKUP(B14,Entries!$A$4:$C$70,2,FALSE))</f>
        <v>L</v>
      </c>
      <c r="D14" s="31" t="str">
        <f>IF(ISBLANK(B14),"",VLOOKUP(B14,Entries!$A$4:$C$70,3,FALSE))</f>
        <v>Benfleet Ladies A</v>
      </c>
      <c r="E14" s="30">
        <f t="shared" si="0"/>
        <v>12</v>
      </c>
      <c r="F14" s="30">
        <f>IF(ISBLANK(B14),"",VLOOKUP(B14,Overall!$B$4:$AR$75,13,FALSE))</f>
        <v>41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13</v>
      </c>
      <c r="J14" s="31" t="s">
        <v>85</v>
      </c>
      <c r="K14" s="30">
        <v>49</v>
      </c>
      <c r="AA14" s="25">
        <v>11</v>
      </c>
      <c r="AB14" s="25">
        <v>13</v>
      </c>
      <c r="AC14" s="25" t="s">
        <v>3</v>
      </c>
      <c r="AD14" s="24" t="s">
        <v>85</v>
      </c>
      <c r="AE14" s="25">
        <v>11</v>
      </c>
      <c r="AF14" s="25">
        <v>49</v>
      </c>
    </row>
    <row r="15" spans="1:32" ht="15">
      <c r="A15" s="30">
        <v>13</v>
      </c>
      <c r="B15" s="30">
        <v>7</v>
      </c>
      <c r="C15" s="30" t="str">
        <f>IF(ISBLANK(B15),"",VLOOKUP(B15,Entries!$A$4:$C$70,2,FALSE))</f>
        <v>A</v>
      </c>
      <c r="D15" s="31" t="str">
        <f>IF(ISBLANK(B15),"",VLOOKUP(B15,Entries!$A$4:$C$70,3,FALSE))</f>
        <v>Halstead Road Runners</v>
      </c>
      <c r="E15" s="30">
        <f t="shared" si="0"/>
        <v>13</v>
      </c>
      <c r="F15" s="30">
        <f>IF(ISBLANK(B15),"",VLOOKUP(B15,Overall!$B$4:$AR$75,13,FALSE))</f>
        <v>58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7</v>
      </c>
      <c r="J15" s="31" t="s">
        <v>129</v>
      </c>
      <c r="K15" s="30">
        <v>58</v>
      </c>
      <c r="AA15" s="25">
        <v>13</v>
      </c>
      <c r="AB15" s="25">
        <v>7</v>
      </c>
      <c r="AC15" s="25" t="s">
        <v>3</v>
      </c>
      <c r="AD15" s="24" t="s">
        <v>129</v>
      </c>
      <c r="AE15" s="25">
        <v>13</v>
      </c>
      <c r="AF15" s="25">
        <v>58</v>
      </c>
    </row>
    <row r="16" spans="1:32" ht="15">
      <c r="A16" s="30">
        <v>14</v>
      </c>
      <c r="B16" s="30">
        <v>25</v>
      </c>
      <c r="C16" s="30" t="str">
        <f>IF(ISBLANK(B16),"",VLOOKUP(B16,Entries!$A$4:$C$70,2,FALSE))</f>
        <v>A</v>
      </c>
      <c r="D16" s="31" t="str">
        <f>IF(ISBLANK(B16),"",VLOOKUP(B16,Entries!$A$4:$C$70,3,FALSE))</f>
        <v>Southend Men B</v>
      </c>
      <c r="E16" s="30">
        <f t="shared" si="0"/>
        <v>14</v>
      </c>
      <c r="F16" s="30">
        <f>IF(ISBLANK(B16),"",VLOOKUP(B16,Overall!$B$4:$AR$75,13,FALSE))</f>
        <v>58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25</v>
      </c>
      <c r="J16" s="31" t="s">
        <v>160</v>
      </c>
      <c r="K16" s="30">
        <v>58</v>
      </c>
      <c r="AA16" s="25">
        <v>14</v>
      </c>
      <c r="AB16" s="25">
        <v>25</v>
      </c>
      <c r="AC16" s="25" t="s">
        <v>3</v>
      </c>
      <c r="AD16" s="24" t="s">
        <v>160</v>
      </c>
      <c r="AE16" s="25">
        <v>14</v>
      </c>
      <c r="AF16" s="25">
        <v>58</v>
      </c>
    </row>
    <row r="17" spans="1:32" ht="15">
      <c r="A17" s="30">
        <v>15</v>
      </c>
      <c r="B17" s="30">
        <v>10</v>
      </c>
      <c r="C17" s="30" t="str">
        <f>IF(ISBLANK(B17),"",VLOOKUP(B17,Entries!$A$4:$C$70,2,FALSE))</f>
        <v>A</v>
      </c>
      <c r="D17" s="31" t="str">
        <f>IF(ISBLANK(B17),"",VLOOKUP(B17,Entries!$A$4:$C$70,3,FALSE))</f>
        <v>Colchester Harriers - Colchester Allsorts</v>
      </c>
      <c r="E17" s="30">
        <f t="shared" si="0"/>
        <v>15</v>
      </c>
      <c r="F17" s="30">
        <f>IF(ISBLANK(B17),"",VLOOKUP(B17,Overall!$B$4:$AR$75,13,FALSE))</f>
        <v>86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26</v>
      </c>
      <c r="J17" s="31" t="s">
        <v>162</v>
      </c>
      <c r="K17" s="30">
        <v>62</v>
      </c>
      <c r="AA17" s="25">
        <v>23</v>
      </c>
      <c r="AB17" s="25">
        <v>26</v>
      </c>
      <c r="AC17" s="25" t="s">
        <v>3</v>
      </c>
      <c r="AD17" s="24" t="s">
        <v>162</v>
      </c>
      <c r="AE17" s="25">
        <v>23</v>
      </c>
      <c r="AF17" s="25">
        <v>62</v>
      </c>
    </row>
    <row r="18" spans="1:32" ht="15">
      <c r="A18" s="30">
        <v>16</v>
      </c>
      <c r="B18" s="30">
        <v>1</v>
      </c>
      <c r="C18" s="30" t="str">
        <f>IF(ISBLANK(B18),"",VLOOKUP(B18,Entries!$A$4:$C$70,2,FALSE))</f>
        <v>A</v>
      </c>
      <c r="D18" s="31" t="str">
        <f>IF(ISBLANK(B18),"",VLOOKUP(B18,Entries!$A$4:$C$70,3,FALSE))</f>
        <v>Eton Manor AC</v>
      </c>
      <c r="E18" s="30">
        <f t="shared" si="0"/>
        <v>16</v>
      </c>
      <c r="F18" s="30">
        <f>IF(ISBLANK(B18),"",VLOOKUP(B18,Overall!$B$4:$AR$75,13,FALSE))</f>
        <v>118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19</v>
      </c>
      <c r="J18" s="31" t="s">
        <v>110</v>
      </c>
      <c r="K18" s="30">
        <v>64</v>
      </c>
      <c r="AA18" s="25">
        <v>33</v>
      </c>
      <c r="AB18" s="25">
        <v>19</v>
      </c>
      <c r="AC18" s="25" t="s">
        <v>3</v>
      </c>
      <c r="AD18" s="24" t="s">
        <v>110</v>
      </c>
      <c r="AE18" s="25">
        <v>33</v>
      </c>
      <c r="AF18" s="25">
        <v>64</v>
      </c>
    </row>
    <row r="19" spans="1:32" ht="15">
      <c r="A19" s="30">
        <v>17</v>
      </c>
      <c r="B19" s="30">
        <v>6</v>
      </c>
      <c r="C19" s="30" t="str">
        <f>IF(ISBLANK(B19),"",VLOOKUP(B19,Entries!$A$4:$C$70,2,FALSE))</f>
        <v>A</v>
      </c>
      <c r="D19" s="31" t="str">
        <f>IF(ISBLANK(B19),"",VLOOKUP(B19,Entries!$A$4:$C$70,3,FALSE))</f>
        <v>Thurrock Nomads B - The Z list</v>
      </c>
      <c r="E19" s="30">
        <f t="shared" si="0"/>
        <v>17</v>
      </c>
      <c r="F19" s="30">
        <f>IF(ISBLANK(B19),"",VLOOKUP(B19,Overall!$B$4:$AR$75,13,FALSE))</f>
        <v>110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33</v>
      </c>
      <c r="J19" s="31" t="s">
        <v>166</v>
      </c>
      <c r="K19" s="30">
        <v>70</v>
      </c>
      <c r="AA19" s="25">
        <v>26</v>
      </c>
      <c r="AB19" s="25">
        <v>33</v>
      </c>
      <c r="AC19" s="25" t="s">
        <v>3</v>
      </c>
      <c r="AD19" s="24" t="s">
        <v>166</v>
      </c>
      <c r="AE19" s="25">
        <v>26</v>
      </c>
      <c r="AF19" s="25">
        <v>70</v>
      </c>
    </row>
    <row r="20" spans="1:32" ht="15">
      <c r="A20" s="30">
        <v>18</v>
      </c>
      <c r="B20" s="30">
        <v>50</v>
      </c>
      <c r="C20" s="30" t="str">
        <f>IF(ISBLANK(B20),"",VLOOKUP(B20,Entries!$A$4:$C$70,2,FALSE))</f>
        <v>V</v>
      </c>
      <c r="D20" s="31" t="str">
        <f>IF(ISBLANK(B20),"",VLOOKUP(B20,Entries!$A$4:$C$70,3,FALSE))</f>
        <v>Harwich Runners Vets</v>
      </c>
      <c r="E20" s="30">
        <f t="shared" si="0"/>
        <v>18</v>
      </c>
      <c r="F20" s="30">
        <f>IF(ISBLANK(B20),"",VLOOKUP(B20,Overall!$B$4:$AR$75,13,FALSE))</f>
        <v>49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38</v>
      </c>
      <c r="J20" s="31" t="s">
        <v>104</v>
      </c>
      <c r="K20" s="30">
        <v>82</v>
      </c>
      <c r="AA20" s="25">
        <v>41</v>
      </c>
      <c r="AB20" s="25">
        <v>38</v>
      </c>
      <c r="AC20" s="25" t="s">
        <v>3</v>
      </c>
      <c r="AD20" s="24" t="s">
        <v>104</v>
      </c>
      <c r="AE20" s="25">
        <v>41</v>
      </c>
      <c r="AF20" s="25">
        <v>82</v>
      </c>
    </row>
    <row r="21" spans="1:32" ht="15">
      <c r="A21" s="30">
        <v>19</v>
      </c>
      <c r="B21" s="30">
        <v>36</v>
      </c>
      <c r="C21" s="30" t="str">
        <f>IF(ISBLANK(B21),"",VLOOKUP(B21,Entries!$A$4:$C$70,2,FALSE))</f>
        <v>A</v>
      </c>
      <c r="D21" s="31" t="str">
        <f>IF(ISBLANK(B21),"",VLOOKUP(B21,Entries!$A$4:$C$70,3,FALSE))</f>
        <v>Springfield Striders Mixed A</v>
      </c>
      <c r="E21" s="30">
        <f t="shared" si="0"/>
        <v>19</v>
      </c>
      <c r="F21" s="30">
        <f>IF(ISBLANK(B21),"",VLOOKUP(B21,Overall!$B$4:$AR$75,13,FALSE))</f>
        <v>46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37</v>
      </c>
      <c r="J21" s="31" t="s">
        <v>103</v>
      </c>
      <c r="K21" s="30">
        <v>83</v>
      </c>
      <c r="AA21" s="25">
        <v>43</v>
      </c>
      <c r="AB21" s="25">
        <v>37</v>
      </c>
      <c r="AC21" s="25" t="s">
        <v>3</v>
      </c>
      <c r="AD21" s="24" t="s">
        <v>103</v>
      </c>
      <c r="AE21" s="25">
        <v>43</v>
      </c>
      <c r="AF21" s="25">
        <v>83</v>
      </c>
    </row>
    <row r="22" spans="1:32" ht="15">
      <c r="A22" s="30">
        <v>20</v>
      </c>
      <c r="B22" s="30">
        <v>69</v>
      </c>
      <c r="C22" s="30" t="str">
        <f>IF(ISBLANK(B22),"",VLOOKUP(B22,Entries!$A$4:$C$70,2,FALSE))</f>
        <v>L</v>
      </c>
      <c r="D22" s="31" t="str">
        <f>IF(ISBLANK(B22),"",VLOOKUP(B22,Entries!$A$4:$C$70,3,FALSE))</f>
        <v>Southend Ladies</v>
      </c>
      <c r="E22" s="30">
        <f t="shared" si="0"/>
        <v>20</v>
      </c>
      <c r="F22" s="30">
        <f>IF(ISBLANK(B22),"",VLOOKUP(B22,Overall!$B$4:$AR$75,13,FALSE))</f>
        <v>75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34</v>
      </c>
      <c r="J22" s="31" t="s">
        <v>167</v>
      </c>
      <c r="K22" s="30">
        <v>85</v>
      </c>
      <c r="AA22" s="25">
        <v>50</v>
      </c>
      <c r="AB22" s="25">
        <v>34</v>
      </c>
      <c r="AC22" s="25" t="s">
        <v>3</v>
      </c>
      <c r="AD22" s="24" t="s">
        <v>167</v>
      </c>
      <c r="AE22" s="25">
        <v>50</v>
      </c>
      <c r="AF22" s="25">
        <v>85</v>
      </c>
    </row>
    <row r="23" spans="1:32" ht="15">
      <c r="A23" s="30">
        <v>21</v>
      </c>
      <c r="B23" s="30">
        <v>24</v>
      </c>
      <c r="C23" s="30" t="str">
        <f>IF(ISBLANK(B23),"",VLOOKUP(B23,Entries!$A$4:$C$70,2,FALSE))</f>
        <v>A</v>
      </c>
      <c r="D23" s="31" t="str">
        <f>IF(ISBLANK(B23),"",VLOOKUP(B23,Entries!$A$4:$C$70,3,FALSE))</f>
        <v>Southend Men A</v>
      </c>
      <c r="E23" s="30">
        <f t="shared" si="0"/>
        <v>21</v>
      </c>
      <c r="F23" s="30">
        <f>IF(ISBLANK(B23),"",VLOOKUP(B23,Overall!$B$4:$AR$75,13,FALSE))</f>
        <v>41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10</v>
      </c>
      <c r="J23" s="31" t="s">
        <v>136</v>
      </c>
      <c r="K23" s="30">
        <v>86</v>
      </c>
      <c r="AA23" s="25">
        <v>15</v>
      </c>
      <c r="AB23" s="25">
        <v>10</v>
      </c>
      <c r="AC23" s="25" t="s">
        <v>3</v>
      </c>
      <c r="AD23" s="24" t="s">
        <v>136</v>
      </c>
      <c r="AE23" s="25">
        <v>15</v>
      </c>
      <c r="AF23" s="25">
        <v>86</v>
      </c>
    </row>
    <row r="24" spans="1:32" ht="15">
      <c r="A24" s="30">
        <v>22</v>
      </c>
      <c r="B24" s="30">
        <v>61</v>
      </c>
      <c r="C24" s="30" t="str">
        <f>IF(ISBLANK(B24),"",VLOOKUP(B24,Entries!$A$4:$C$70,2,FALSE))</f>
        <v>L</v>
      </c>
      <c r="D24" s="31" t="str">
        <f>IF(ISBLANK(B24),"",VLOOKUP(B24,Entries!$A$4:$C$70,3,FALSE))</f>
        <v>East Essex Tri Women</v>
      </c>
      <c r="E24" s="30">
        <f t="shared" si="0"/>
        <v>22</v>
      </c>
      <c r="F24" s="30">
        <f>IF(ISBLANK(B24),"",VLOOKUP(B24,Overall!$B$4:$AR$75,13,FALSE))</f>
        <v>110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14</v>
      </c>
      <c r="J24" s="31" t="s">
        <v>141</v>
      </c>
      <c r="K24" s="30">
        <v>99</v>
      </c>
      <c r="AA24" s="25">
        <v>54</v>
      </c>
      <c r="AB24" s="25">
        <v>14</v>
      </c>
      <c r="AC24" s="25" t="s">
        <v>3</v>
      </c>
      <c r="AD24" s="24" t="s">
        <v>141</v>
      </c>
      <c r="AE24" s="25">
        <v>54</v>
      </c>
      <c r="AF24" s="25">
        <v>99</v>
      </c>
    </row>
    <row r="25" spans="1:32" ht="15">
      <c r="A25" s="30">
        <v>23</v>
      </c>
      <c r="B25" s="30">
        <v>26</v>
      </c>
      <c r="C25" s="30" t="str">
        <f>IF(ISBLANK(B25),"",VLOOKUP(B25,Entries!$A$4:$C$70,2,FALSE))</f>
        <v>A</v>
      </c>
      <c r="D25" s="31" t="str">
        <f>IF(ISBLANK(B25),"",VLOOKUP(B25,Entries!$A$4:$C$70,3,FALSE))</f>
        <v>Harwich Runners Men</v>
      </c>
      <c r="E25" s="30">
        <f t="shared" si="0"/>
        <v>23</v>
      </c>
      <c r="F25" s="30">
        <f>IF(ISBLANK(B25),"",VLOOKUP(B25,Overall!$B$4:$AR$75,13,FALSE))</f>
        <v>62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22</v>
      </c>
      <c r="J25" s="31" t="s">
        <v>152</v>
      </c>
      <c r="K25" s="30">
        <v>106</v>
      </c>
      <c r="AA25" s="25">
        <v>25</v>
      </c>
      <c r="AB25" s="25">
        <v>22</v>
      </c>
      <c r="AC25" s="25" t="s">
        <v>3</v>
      </c>
      <c r="AD25" s="24" t="s">
        <v>152</v>
      </c>
      <c r="AE25" s="25">
        <v>25</v>
      </c>
      <c r="AF25" s="25">
        <v>106</v>
      </c>
    </row>
    <row r="26" spans="1:32" ht="15">
      <c r="A26" s="30">
        <v>24</v>
      </c>
      <c r="B26" s="30">
        <v>53</v>
      </c>
      <c r="C26" s="30" t="str">
        <f>IF(ISBLANK(B26),"",VLOOKUP(B26,Entries!$A$4:$C$70,2,FALSE))</f>
        <v>V</v>
      </c>
      <c r="D26" s="31" t="str">
        <f>IF(ISBLANK(B26),"",VLOOKUP(B26,Entries!$A$4:$C$70,3,FALSE))</f>
        <v>Springfield Striders Vets</v>
      </c>
      <c r="E26" s="30">
        <f t="shared" si="0"/>
        <v>24</v>
      </c>
      <c r="F26" s="30">
        <f>IF(ISBLANK(B26),"",VLOOKUP(B26,Overall!$B$4:$AR$75,13,FALSE))</f>
        <v>47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30</v>
      </c>
      <c r="J26" s="31" t="s">
        <v>100</v>
      </c>
      <c r="K26" s="30">
        <v>107</v>
      </c>
      <c r="AA26" s="25">
        <v>32</v>
      </c>
      <c r="AB26" s="25">
        <v>30</v>
      </c>
      <c r="AC26" s="25" t="s">
        <v>3</v>
      </c>
      <c r="AD26" s="24" t="s">
        <v>100</v>
      </c>
      <c r="AE26" s="25">
        <v>32</v>
      </c>
      <c r="AF26" s="25">
        <v>107</v>
      </c>
    </row>
    <row r="27" spans="1:32" ht="15">
      <c r="A27" s="30">
        <v>25</v>
      </c>
      <c r="B27" s="30">
        <v>22</v>
      </c>
      <c r="C27" s="30" t="str">
        <f>IF(ISBLANK(B27),"",VLOOKUP(B27,Entries!$A$4:$C$70,2,FALSE))</f>
        <v>A</v>
      </c>
      <c r="D27" s="31" t="str">
        <f>IF(ISBLANK(B27),"",VLOOKUP(B27,Entries!$A$4:$C$70,3,FALSE))</f>
        <v>TGT Men B</v>
      </c>
      <c r="E27" s="30">
        <f t="shared" si="0"/>
        <v>25</v>
      </c>
      <c r="F27" s="30">
        <f>IF(ISBLANK(B27),"",VLOOKUP(B27,Overall!$B$4:$AR$75,13,FALSE))</f>
        <v>106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40</v>
      </c>
      <c r="J27" s="31" t="s">
        <v>173</v>
      </c>
      <c r="K27" s="30">
        <v>109</v>
      </c>
      <c r="AA27" s="25">
        <v>49</v>
      </c>
      <c r="AB27" s="25">
        <v>40</v>
      </c>
      <c r="AC27" s="25" t="s">
        <v>3</v>
      </c>
      <c r="AD27" s="24" t="s">
        <v>173</v>
      </c>
      <c r="AE27" s="25">
        <v>49</v>
      </c>
      <c r="AF27" s="25">
        <v>109</v>
      </c>
    </row>
    <row r="28" spans="1:32" ht="15">
      <c r="A28" s="30">
        <v>26</v>
      </c>
      <c r="B28" s="30">
        <v>33</v>
      </c>
      <c r="C28" s="30" t="str">
        <f>IF(ISBLANK(B28),"",VLOOKUP(B28,Entries!$A$4:$C$70,2,FALSE))</f>
        <v>A</v>
      </c>
      <c r="D28" s="31" t="str">
        <f>IF(ISBLANK(B28),"",VLOOKUP(B28,Entries!$A$4:$C$70,3,FALSE))</f>
        <v>Grange Farm B</v>
      </c>
      <c r="E28" s="30">
        <f t="shared" si="0"/>
        <v>26</v>
      </c>
      <c r="F28" s="30">
        <f>IF(ISBLANK(B28),"",VLOOKUP(B28,Overall!$B$4:$AR$75,13,FALSE))</f>
        <v>70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6</v>
      </c>
      <c r="J28" s="31" t="s">
        <v>127</v>
      </c>
      <c r="K28" s="30">
        <v>110</v>
      </c>
      <c r="AA28" s="25">
        <v>17</v>
      </c>
      <c r="AB28" s="25">
        <v>6</v>
      </c>
      <c r="AC28" s="25" t="s">
        <v>3</v>
      </c>
      <c r="AD28" s="24" t="s">
        <v>127</v>
      </c>
      <c r="AE28" s="25">
        <v>17</v>
      </c>
      <c r="AF28" s="25">
        <v>110</v>
      </c>
    </row>
    <row r="29" spans="1:32" ht="15">
      <c r="A29" s="30">
        <v>27</v>
      </c>
      <c r="B29" s="30">
        <v>59</v>
      </c>
      <c r="C29" s="30" t="str">
        <f>IF(ISBLANK(B29),"",VLOOKUP(B29,Entries!$A$4:$C$70,2,FALSE))</f>
        <v>L</v>
      </c>
      <c r="D29" s="31" t="str">
        <f>IF(ISBLANK(B29),"",VLOOKUP(B29,Entries!$A$4:$C$70,3,FALSE))</f>
        <v>Grange Farm Ladies</v>
      </c>
      <c r="E29" s="30">
        <f t="shared" si="0"/>
        <v>27</v>
      </c>
      <c r="F29" s="30">
        <f>IF(ISBLANK(B29),"",VLOOKUP(B29,Overall!$B$4:$AR$75,13,FALSE))</f>
        <v>85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20</v>
      </c>
      <c r="J29" s="31" t="s">
        <v>145</v>
      </c>
      <c r="K29" s="30">
        <v>113</v>
      </c>
      <c r="AA29" s="25">
        <v>28</v>
      </c>
      <c r="AB29" s="25">
        <v>20</v>
      </c>
      <c r="AC29" s="25" t="s">
        <v>3</v>
      </c>
      <c r="AD29" s="24" t="s">
        <v>145</v>
      </c>
      <c r="AE29" s="25">
        <v>28</v>
      </c>
      <c r="AF29" s="25">
        <v>113</v>
      </c>
    </row>
    <row r="30" spans="1:32" ht="15">
      <c r="A30" s="30">
        <v>28</v>
      </c>
      <c r="B30" s="30">
        <v>20</v>
      </c>
      <c r="C30" s="30" t="str">
        <f>IF(ISBLANK(B30),"",VLOOKUP(B30,Entries!$A$4:$C$70,2,FALSE))</f>
        <v>A</v>
      </c>
      <c r="D30" s="31" t="str">
        <f>IF(ISBLANK(B30),"",VLOOKUP(B30,Entries!$A$4:$C$70,3,FALSE))</f>
        <v>BSRC</v>
      </c>
      <c r="E30" s="30">
        <f t="shared" si="0"/>
        <v>28</v>
      </c>
      <c r="F30" s="30">
        <f>IF(ISBLANK(B30),"",VLOOKUP(B30,Overall!$B$4:$AR$75,13,FALSE))</f>
        <v>113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1</v>
      </c>
      <c r="J30" s="31" t="s">
        <v>117</v>
      </c>
      <c r="K30" s="30">
        <v>118</v>
      </c>
      <c r="AA30" s="25">
        <v>16</v>
      </c>
      <c r="AB30" s="25">
        <v>1</v>
      </c>
      <c r="AC30" s="25" t="s">
        <v>3</v>
      </c>
      <c r="AD30" s="24" t="s">
        <v>117</v>
      </c>
      <c r="AE30" s="25">
        <v>16</v>
      </c>
      <c r="AF30" s="25">
        <v>118</v>
      </c>
    </row>
    <row r="31" spans="1:32" ht="15">
      <c r="A31" s="30">
        <v>29</v>
      </c>
      <c r="B31" s="30">
        <v>51</v>
      </c>
      <c r="C31" s="30" t="str">
        <f>IF(ISBLANK(B31),"",VLOOKUP(B31,Entries!$A$4:$C$70,2,FALSE))</f>
        <v>V</v>
      </c>
      <c r="D31" s="31" t="str">
        <f>IF(ISBLANK(B31),"",VLOOKUP(B31,Entries!$A$4:$C$70,3,FALSE))</f>
        <v>Ilford Vets</v>
      </c>
      <c r="E31" s="30">
        <f t="shared" si="0"/>
        <v>29</v>
      </c>
      <c r="F31" s="30">
        <f>IF(ISBLANK(B31),"",VLOOKUP(B31,Overall!$B$4:$AR$75,13,FALSE))</f>
        <v>88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29</v>
      </c>
      <c r="J31" s="31" t="s">
        <v>92</v>
      </c>
      <c r="K31" s="30">
        <v>131</v>
      </c>
      <c r="AA31" s="25">
        <v>38</v>
      </c>
      <c r="AB31" s="25">
        <v>29</v>
      </c>
      <c r="AC31" s="25" t="s">
        <v>3</v>
      </c>
      <c r="AD31" s="24" t="s">
        <v>92</v>
      </c>
      <c r="AE31" s="25">
        <v>38</v>
      </c>
      <c r="AF31" s="25">
        <v>131</v>
      </c>
    </row>
    <row r="32" spans="1:32" ht="15">
      <c r="A32" s="30">
        <v>30</v>
      </c>
      <c r="B32" s="30">
        <v>66</v>
      </c>
      <c r="C32" s="30" t="str">
        <f>IF(ISBLANK(B32),"",VLOOKUP(B32,Entries!$A$4:$C$70,2,FALSE))</f>
        <v>L</v>
      </c>
      <c r="D32" s="31" t="str">
        <f>IF(ISBLANK(B32),"",VLOOKUP(B32,Entries!$A$4:$C$70,3,FALSE))</f>
        <v>TGT Ladies A</v>
      </c>
      <c r="E32" s="30">
        <f t="shared" si="0"/>
        <v>30</v>
      </c>
      <c r="F32" s="30">
        <f>IF(ISBLANK(B32),"",VLOOKUP(B32,Overall!$B$4:$AR$75,13,FALSE))</f>
        <v>92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16</v>
      </c>
      <c r="J32" s="31" t="s">
        <v>143</v>
      </c>
      <c r="K32" s="30">
        <v>134</v>
      </c>
      <c r="AA32" s="25">
        <v>46</v>
      </c>
      <c r="AB32" s="25">
        <v>16</v>
      </c>
      <c r="AC32" s="25" t="s">
        <v>3</v>
      </c>
      <c r="AD32" s="24" t="s">
        <v>143</v>
      </c>
      <c r="AE32" s="25">
        <v>46</v>
      </c>
      <c r="AF32" s="25">
        <v>134</v>
      </c>
    </row>
    <row r="33" spans="1:32" ht="15">
      <c r="A33" s="30">
        <v>31</v>
      </c>
      <c r="B33" s="30">
        <v>65</v>
      </c>
      <c r="C33" s="30" t="str">
        <f>IF(ISBLANK(B33),"",VLOOKUP(B33,Entries!$A$4:$C$70,2,FALSE))</f>
        <v>L</v>
      </c>
      <c r="D33" s="31" t="str">
        <f>IF(ISBLANK(B33),"",VLOOKUP(B33,Entries!$A$4:$C$70,3,FALSE))</f>
        <v>Benfleet Ladies B</v>
      </c>
      <c r="E33" s="30">
        <f aca="true" t="shared" si="1" ref="E33:E55">IF(ISBLANK(B33),"",A33)</f>
        <v>31</v>
      </c>
      <c r="F33" s="30">
        <f>IF(ISBLANK(B33),"",VLOOKUP(B33,Overall!$B$4:$AR$75,13,FALSE))</f>
        <v>105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2</v>
      </c>
      <c r="J33" s="31" t="s">
        <v>98</v>
      </c>
      <c r="K33" s="30">
        <v>137</v>
      </c>
      <c r="AA33" s="25">
        <v>37</v>
      </c>
      <c r="AB33" s="25">
        <v>2</v>
      </c>
      <c r="AC33" s="25" t="s">
        <v>3</v>
      </c>
      <c r="AD33" s="24" t="s">
        <v>98</v>
      </c>
      <c r="AE33" s="25">
        <v>37</v>
      </c>
      <c r="AF33" s="25">
        <v>137</v>
      </c>
    </row>
    <row r="34" spans="1:32" ht="15">
      <c r="A34" s="30">
        <v>32</v>
      </c>
      <c r="B34" s="30">
        <v>30</v>
      </c>
      <c r="C34" s="30" t="str">
        <f>IF(ISBLANK(B34),"",VLOOKUP(B34,Entries!$A$4:$C$70,2,FALSE))</f>
        <v>A</v>
      </c>
      <c r="D34" s="31" t="str">
        <f>IF(ISBLANK(B34),"",VLOOKUP(B34,Entries!$A$4:$C$70,3,FALSE))</f>
        <v>Witham Running Club</v>
      </c>
      <c r="E34" s="30">
        <f t="shared" si="1"/>
        <v>32</v>
      </c>
      <c r="F34" s="30">
        <f>IF(ISBLANK(B34),"",VLOOKUP(B34,Overall!$B$4:$AR$75,13,FALSE))</f>
        <v>107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8</v>
      </c>
      <c r="J34" s="31" t="s">
        <v>132</v>
      </c>
      <c r="K34" s="30">
        <v>138</v>
      </c>
      <c r="AA34" s="25">
        <v>10</v>
      </c>
      <c r="AB34" s="25">
        <v>8</v>
      </c>
      <c r="AC34" s="25" t="s">
        <v>3</v>
      </c>
      <c r="AD34" s="24" t="s">
        <v>132</v>
      </c>
      <c r="AE34" s="25">
        <v>10</v>
      </c>
      <c r="AF34" s="25">
        <v>138</v>
      </c>
    </row>
    <row r="35" spans="1:32" ht="15">
      <c r="A35" s="30">
        <v>33</v>
      </c>
      <c r="B35" s="30">
        <v>19</v>
      </c>
      <c r="C35" s="30" t="str">
        <f>IF(ISBLANK(B35),"",VLOOKUP(B35,Entries!$A$4:$C$70,2,FALSE))</f>
        <v>A</v>
      </c>
      <c r="D35" s="31" t="str">
        <f>IF(ISBLANK(B35),"",VLOOKUP(B35,Entries!$A$4:$C$70,3,FALSE))</f>
        <v>Benfleet Men C</v>
      </c>
      <c r="E35" s="30">
        <f t="shared" si="1"/>
        <v>33</v>
      </c>
      <c r="F35" s="30">
        <f>IF(ISBLANK(B35),"",VLOOKUP(B35,Overall!$B$4:$AR$75,13,FALSE))</f>
        <v>64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11</v>
      </c>
      <c r="J35" s="31" t="s">
        <v>65</v>
      </c>
      <c r="K35" s="30">
        <v>138</v>
      </c>
      <c r="AA35" s="25">
        <v>44</v>
      </c>
      <c r="AB35" s="25">
        <v>11</v>
      </c>
      <c r="AC35" s="25" t="s">
        <v>3</v>
      </c>
      <c r="AD35" s="24" t="s">
        <v>65</v>
      </c>
      <c r="AE35" s="25">
        <v>44</v>
      </c>
      <c r="AF35" s="25">
        <v>138</v>
      </c>
    </row>
    <row r="36" spans="1:32" ht="15">
      <c r="A36" s="30">
        <v>34</v>
      </c>
      <c r="B36" s="30">
        <v>57</v>
      </c>
      <c r="C36" s="30" t="str">
        <f>IF(ISBLANK(B36),"",VLOOKUP(B36,Entries!$A$4:$C$70,2,FALSE))</f>
        <v>L</v>
      </c>
      <c r="D36" s="31" t="str">
        <f>IF(ISBLANK(B36),"",VLOOKUP(B36,Entries!$A$4:$C$70,3,FALSE))</f>
        <v>Springfield Striders Ladies A</v>
      </c>
      <c r="E36" s="30">
        <f t="shared" si="1"/>
        <v>34</v>
      </c>
      <c r="F36" s="30">
        <f>IF(ISBLANK(B36),"",VLOOKUP(B36,Overall!$B$4:$AR$75,13,FALSE))</f>
        <v>108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27</v>
      </c>
      <c r="J36" s="31" t="s">
        <v>97</v>
      </c>
      <c r="K36" s="30">
        <v>144</v>
      </c>
      <c r="AA36" s="25">
        <v>40</v>
      </c>
      <c r="AB36" s="25">
        <v>27</v>
      </c>
      <c r="AC36" s="25" t="s">
        <v>3</v>
      </c>
      <c r="AD36" s="24" t="s">
        <v>97</v>
      </c>
      <c r="AE36" s="25">
        <v>40</v>
      </c>
      <c r="AF36" s="25">
        <v>144</v>
      </c>
    </row>
    <row r="37" spans="1:32" ht="15">
      <c r="A37" s="30">
        <v>35</v>
      </c>
      <c r="B37" s="30">
        <v>12</v>
      </c>
      <c r="C37" s="30" t="str">
        <f>IF(ISBLANK(B37),"",VLOOKUP(B37,Entries!$A$4:$C$70,2,FALSE))</f>
        <v>V</v>
      </c>
      <c r="D37" s="31" t="str">
        <f>IF(ISBLANK(B37),"",VLOOKUP(B37,Entries!$A$4:$C$70,3,FALSE))</f>
        <v>Mid Essex Casuals A</v>
      </c>
      <c r="E37" s="30">
        <f t="shared" si="1"/>
        <v>35</v>
      </c>
      <c r="F37" s="30">
        <f>IF(ISBLANK(B37),"",VLOOKUP(B37,Overall!$B$4:$AR$75,13,FALSE))</f>
        <v>99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</v>
      </c>
      <c r="J37" s="31" t="s">
        <v>120</v>
      </c>
      <c r="K37" s="30">
        <v>154</v>
      </c>
      <c r="AA37" s="25">
        <v>56</v>
      </c>
      <c r="AB37" s="25">
        <v>3</v>
      </c>
      <c r="AC37" s="25" t="s">
        <v>3</v>
      </c>
      <c r="AD37" s="24" t="s">
        <v>120</v>
      </c>
      <c r="AE37" s="25">
        <v>56</v>
      </c>
      <c r="AF37" s="25">
        <v>154</v>
      </c>
    </row>
    <row r="38" spans="1:32" ht="15">
      <c r="A38" s="30">
        <v>36</v>
      </c>
      <c r="B38" s="30">
        <v>70</v>
      </c>
      <c r="C38" s="30" t="str">
        <f>IF(ISBLANK(B38),"",VLOOKUP(B38,Entries!$A$4:$C$70,2,FALSE))</f>
        <v>L</v>
      </c>
      <c r="D38" s="31" t="str">
        <f>IF(ISBLANK(B38),"",VLOOKUP(B38,Entries!$A$4:$C$70,3,FALSE))</f>
        <v>Harwich Runners Ladies</v>
      </c>
      <c r="E38" s="30">
        <f t="shared" si="1"/>
        <v>36</v>
      </c>
      <c r="F38" s="30">
        <f>IF(ISBLANK(B38),"",VLOOKUP(B38,Overall!$B$4:$AR$75,13,FALSE))</f>
        <v>142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35</v>
      </c>
      <c r="J38" s="31" t="s">
        <v>168</v>
      </c>
      <c r="K38" s="30">
        <v>159</v>
      </c>
      <c r="AA38" s="25">
        <v>100</v>
      </c>
      <c r="AB38" s="25">
        <v>35</v>
      </c>
      <c r="AC38" s="25" t="s">
        <v>3</v>
      </c>
      <c r="AD38" s="24" t="s">
        <v>168</v>
      </c>
      <c r="AE38" s="25">
        <v>100</v>
      </c>
      <c r="AF38" s="25">
        <v>159</v>
      </c>
    </row>
    <row r="39" spans="1:32" ht="15">
      <c r="A39" s="30">
        <v>37</v>
      </c>
      <c r="B39" s="30">
        <v>2</v>
      </c>
      <c r="C39" s="30" t="str">
        <f>IF(ISBLANK(B39),"",VLOOKUP(B39,Entries!$A$4:$C$70,2,FALSE))</f>
        <v>A</v>
      </c>
      <c r="D39" s="31" t="str">
        <f>IF(ISBLANK(B39),"",VLOOKUP(B39,Entries!$A$4:$C$70,3,FALSE))</f>
        <v>Thurrock Nomads A</v>
      </c>
      <c r="E39" s="30">
        <f t="shared" si="1"/>
        <v>37</v>
      </c>
      <c r="F39" s="30">
        <f>IF(ISBLANK(B39),"",VLOOKUP(B39,Overall!$B$4:$AR$75,13,FALSE))</f>
        <v>137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41</v>
      </c>
      <c r="J39" s="31" t="s">
        <v>176</v>
      </c>
      <c r="K39" s="30">
        <v>160</v>
      </c>
      <c r="AA39" s="25">
        <v>51</v>
      </c>
      <c r="AB39" s="25">
        <v>41</v>
      </c>
      <c r="AC39" s="25" t="s">
        <v>3</v>
      </c>
      <c r="AD39" s="24" t="s">
        <v>176</v>
      </c>
      <c r="AE39" s="25">
        <v>51</v>
      </c>
      <c r="AF39" s="25">
        <v>160</v>
      </c>
    </row>
    <row r="40" spans="1:32" ht="15">
      <c r="A40" s="30">
        <v>38</v>
      </c>
      <c r="B40" s="30">
        <v>29</v>
      </c>
      <c r="C40" s="30" t="str">
        <f>IF(ISBLANK(B40),"",VLOOKUP(B40,Entries!$A$4:$C$70,2,FALSE))</f>
        <v>A</v>
      </c>
      <c r="D40" s="31" t="str">
        <f>IF(ISBLANK(B40),"",VLOOKUP(B40,Entries!$A$4:$C$70,3,FALSE))</f>
        <v>Ilford B</v>
      </c>
      <c r="E40" s="30">
        <f t="shared" si="1"/>
        <v>38</v>
      </c>
      <c r="F40" s="30">
        <f>IF(ISBLANK(B40),"",VLOOKUP(B40,Overall!$B$4:$AR$75,13,FALSE))</f>
        <v>131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39</v>
      </c>
      <c r="J40" s="31" t="s">
        <v>105</v>
      </c>
      <c r="K40" s="30">
        <v>171</v>
      </c>
      <c r="AA40" s="25">
        <v>100</v>
      </c>
      <c r="AB40" s="25">
        <v>39</v>
      </c>
      <c r="AC40" s="25" t="s">
        <v>3</v>
      </c>
      <c r="AD40" s="24" t="s">
        <v>105</v>
      </c>
      <c r="AE40" s="25">
        <v>100</v>
      </c>
      <c r="AF40" s="25">
        <v>171</v>
      </c>
    </row>
    <row r="41" spans="1:32" ht="15">
      <c r="A41" s="30">
        <v>39</v>
      </c>
      <c r="B41" s="30">
        <v>62</v>
      </c>
      <c r="C41" s="30" t="str">
        <f>IF(ISBLANK(B41),"",VLOOKUP(B41,Entries!$A$4:$C$70,2,FALSE))</f>
        <v>L</v>
      </c>
      <c r="D41" s="31" t="str">
        <f>IF(ISBLANK(B41),"",VLOOKUP(B41,Entries!$A$4:$C$70,3,FALSE))</f>
        <v>Leigh on Sea - Weekend without Make up</v>
      </c>
      <c r="E41" s="30">
        <f t="shared" si="1"/>
        <v>39</v>
      </c>
      <c r="F41" s="30">
        <f>IF(ISBLANK(B41),"",VLOOKUP(B41,Overall!$B$4:$AR$75,13,FALSE))</f>
        <v>102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15</v>
      </c>
      <c r="J41" s="31" t="s">
        <v>142</v>
      </c>
      <c r="K41" s="30">
        <v>176</v>
      </c>
      <c r="AA41" s="25">
        <v>47</v>
      </c>
      <c r="AB41" s="25">
        <v>15</v>
      </c>
      <c r="AC41" s="25" t="s">
        <v>3</v>
      </c>
      <c r="AD41" s="24" t="s">
        <v>142</v>
      </c>
      <c r="AE41" s="25">
        <v>47</v>
      </c>
      <c r="AF41" s="25">
        <v>176</v>
      </c>
    </row>
    <row r="42" spans="1:32" ht="15">
      <c r="A42" s="30">
        <v>40</v>
      </c>
      <c r="B42" s="30">
        <v>27</v>
      </c>
      <c r="C42" s="30" t="str">
        <f>IF(ISBLANK(B42),"",VLOOKUP(B42,Entries!$A$4:$C$70,2,FALSE))</f>
        <v>A</v>
      </c>
      <c r="D42" s="31" t="str">
        <f>IF(ISBLANK(B42),"",VLOOKUP(B42,Entries!$A$4:$C$70,3,FALSE))</f>
        <v>Harwich Runners Mixed</v>
      </c>
      <c r="E42" s="30">
        <f t="shared" si="1"/>
        <v>40</v>
      </c>
      <c r="F42" s="30">
        <f>IF(ISBLANK(B42),"",VLOOKUP(B42,Overall!$B$4:$AR$75,13,FALSE))</f>
        <v>144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4</v>
      </c>
      <c r="J42" s="45" t="s">
        <v>123</v>
      </c>
      <c r="K42" s="44">
        <v>184</v>
      </c>
      <c r="AA42" s="25">
        <v>57</v>
      </c>
      <c r="AB42" s="25">
        <v>4</v>
      </c>
      <c r="AC42" s="25" t="s">
        <v>3</v>
      </c>
      <c r="AD42" s="24" t="s">
        <v>123</v>
      </c>
      <c r="AE42" s="25">
        <v>57</v>
      </c>
      <c r="AF42" s="25">
        <v>184</v>
      </c>
    </row>
    <row r="43" spans="1:32" ht="15">
      <c r="A43" s="30">
        <v>41</v>
      </c>
      <c r="B43" s="30">
        <v>38</v>
      </c>
      <c r="C43" s="30" t="str">
        <f>IF(ISBLANK(B43),"",VLOOKUP(B43,Entries!$A$4:$C$70,2,FALSE))</f>
        <v>A</v>
      </c>
      <c r="D43" s="31" t="str">
        <f>IF(ISBLANK(B43),"",VLOOKUP(B43,Entries!$A$4:$C$70,3,FALSE))</f>
        <v>Springfield Striders Mixed C</v>
      </c>
      <c r="E43" s="30">
        <f t="shared" si="1"/>
        <v>41</v>
      </c>
      <c r="F43" s="30">
        <f>IF(ISBLANK(B43),"",VLOOKUP(B43,Overall!$B$4:$AR$75,13,FALSE))</f>
        <v>82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12</v>
      </c>
      <c r="AB43" s="25">
        <v>64</v>
      </c>
      <c r="AC43" s="25" t="s">
        <v>0</v>
      </c>
      <c r="AD43" s="24" t="s">
        <v>191</v>
      </c>
      <c r="AE43" s="25">
        <v>12</v>
      </c>
      <c r="AF43" s="25">
        <v>41</v>
      </c>
    </row>
    <row r="44" spans="1:32" ht="15">
      <c r="A44" s="30">
        <v>42</v>
      </c>
      <c r="B44" s="30">
        <v>58</v>
      </c>
      <c r="C44" s="30" t="str">
        <f>IF(ISBLANK(B44),"",VLOOKUP(B44,Entries!$A$4:$C$70,2,FALSE))</f>
        <v>L</v>
      </c>
      <c r="D44" s="31" t="str">
        <f>IF(ISBLANK(B44),"",VLOOKUP(B44,Entries!$A$4:$C$70,3,FALSE))</f>
        <v>Springfield Striders Ladies B</v>
      </c>
      <c r="E44" s="30">
        <f t="shared" si="1"/>
        <v>42</v>
      </c>
      <c r="F44" s="30">
        <f>IF(ISBLANK(B44),"",VLOOKUP(B44,Overall!$B$4:$AR$75,13,FALSE))</f>
        <v>136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20</v>
      </c>
      <c r="AB44" s="25">
        <v>69</v>
      </c>
      <c r="AC44" s="25" t="s">
        <v>0</v>
      </c>
      <c r="AD44" s="24" t="s">
        <v>198</v>
      </c>
      <c r="AE44" s="25">
        <v>20</v>
      </c>
      <c r="AF44" s="25">
        <v>75</v>
      </c>
    </row>
    <row r="45" spans="1:32" ht="15">
      <c r="A45" s="30">
        <v>43</v>
      </c>
      <c r="B45" s="30">
        <v>37</v>
      </c>
      <c r="C45" s="30" t="str">
        <f>IF(ISBLANK(B45),"",VLOOKUP(B45,Entries!$A$4:$C$70,2,FALSE))</f>
        <v>A</v>
      </c>
      <c r="D45" s="31" t="str">
        <f>IF(ISBLANK(B45),"",VLOOKUP(B45,Entries!$A$4:$C$70,3,FALSE))</f>
        <v>Springfield Striders Mixed B</v>
      </c>
      <c r="E45" s="30">
        <f t="shared" si="1"/>
        <v>43</v>
      </c>
      <c r="F45" s="30">
        <f>IF(ISBLANK(B45),"",VLOOKUP(B45,Overall!$B$4:$AR$75,13,FALSE))</f>
        <v>83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41</v>
      </c>
      <c r="AA45" s="25">
        <v>27</v>
      </c>
      <c r="AB45" s="25">
        <v>59</v>
      </c>
      <c r="AC45" s="25" t="s">
        <v>0</v>
      </c>
      <c r="AD45" s="24" t="s">
        <v>183</v>
      </c>
      <c r="AE45" s="25">
        <v>27</v>
      </c>
      <c r="AF45" s="25">
        <v>85</v>
      </c>
    </row>
    <row r="46" spans="1:32" ht="15">
      <c r="A46" s="30">
        <v>44</v>
      </c>
      <c r="B46" s="30">
        <v>11</v>
      </c>
      <c r="C46" s="30" t="str">
        <f>IF(ISBLANK(B46),"",VLOOKUP(B46,Entries!$A$4:$C$70,2,FALSE))</f>
        <v>A</v>
      </c>
      <c r="D46" s="31" t="str">
        <f>IF(ISBLANK(B46),"",VLOOKUP(B46,Entries!$A$4:$C$70,3,FALSE))</f>
        <v>Billericay Striders</v>
      </c>
      <c r="E46" s="30">
        <f t="shared" si="1"/>
        <v>44</v>
      </c>
      <c r="F46" s="30">
        <f>IF(ISBLANK(B46),"",VLOOKUP(B46,Overall!$B$4:$AR$75,13,FALSE))</f>
        <v>138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69</v>
      </c>
      <c r="J46" s="31" t="s">
        <v>198</v>
      </c>
      <c r="K46" s="30">
        <v>75</v>
      </c>
      <c r="AA46" s="25">
        <v>30</v>
      </c>
      <c r="AB46" s="25">
        <v>66</v>
      </c>
      <c r="AC46" s="25" t="s">
        <v>0</v>
      </c>
      <c r="AD46" s="24" t="s">
        <v>193</v>
      </c>
      <c r="AE46" s="25">
        <v>30</v>
      </c>
      <c r="AF46" s="25">
        <v>92</v>
      </c>
    </row>
    <row r="47" spans="1:32" ht="15">
      <c r="A47" s="30">
        <v>45</v>
      </c>
      <c r="B47" s="30">
        <v>63</v>
      </c>
      <c r="C47" s="30" t="str">
        <f>IF(ISBLANK(B47),"",VLOOKUP(B47,Entries!$A$4:$C$70,2,FALSE))</f>
        <v>L</v>
      </c>
      <c r="D47" s="31" t="str">
        <f>IF(ISBLANK(B47),"",VLOOKUP(B47,Entries!$A$4:$C$70,3,FALSE))</f>
        <v>Billericay Striders</v>
      </c>
      <c r="E47" s="30">
        <f t="shared" si="1"/>
        <v>45</v>
      </c>
      <c r="F47" s="30">
        <f>IF(ISBLANK(B47),"",VLOOKUP(B47,Overall!$B$4:$AR$75,13,FALSE))</f>
        <v>144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59</v>
      </c>
      <c r="J47" s="31" t="s">
        <v>183</v>
      </c>
      <c r="K47" s="30">
        <v>85</v>
      </c>
      <c r="AA47" s="25">
        <v>39</v>
      </c>
      <c r="AB47" s="25">
        <v>62</v>
      </c>
      <c r="AC47" s="25" t="s">
        <v>0</v>
      </c>
      <c r="AD47" s="24" t="s">
        <v>188</v>
      </c>
      <c r="AE47" s="25">
        <v>39</v>
      </c>
      <c r="AF47" s="25">
        <v>102</v>
      </c>
    </row>
    <row r="48" spans="1:32" ht="15">
      <c r="A48" s="30">
        <v>46</v>
      </c>
      <c r="B48" s="30">
        <v>16</v>
      </c>
      <c r="C48" s="30" t="str">
        <f>IF(ISBLANK(B48),"",VLOOKUP(B48,Entries!$A$4:$C$70,2,FALSE))</f>
        <v>A</v>
      </c>
      <c r="D48" s="31" t="str">
        <f>IF(ISBLANK(B48),"",VLOOKUP(B48,Entries!$A$4:$C$70,3,FALSE))</f>
        <v>Havering 90 B</v>
      </c>
      <c r="E48" s="30">
        <f t="shared" si="1"/>
        <v>46</v>
      </c>
      <c r="F48" s="30">
        <f>IF(ISBLANK(B48),"",VLOOKUP(B48,Overall!$B$4:$AR$75,13,FALSE))</f>
        <v>134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66</v>
      </c>
      <c r="J48" s="31" t="s">
        <v>193</v>
      </c>
      <c r="K48" s="30">
        <v>92</v>
      </c>
      <c r="AA48" s="25">
        <v>31</v>
      </c>
      <c r="AB48" s="25">
        <v>65</v>
      </c>
      <c r="AC48" s="25" t="s">
        <v>0</v>
      </c>
      <c r="AD48" s="24" t="s">
        <v>192</v>
      </c>
      <c r="AE48" s="25">
        <v>31</v>
      </c>
      <c r="AF48" s="25">
        <v>105</v>
      </c>
    </row>
    <row r="49" spans="1:32" ht="15">
      <c r="A49" s="30">
        <v>47</v>
      </c>
      <c r="B49" s="30">
        <v>15</v>
      </c>
      <c r="C49" s="30" t="str">
        <f>IF(ISBLANK(B49),"",VLOOKUP(B49,Entries!$A$4:$C$70,2,FALSE))</f>
        <v>A</v>
      </c>
      <c r="D49" s="31" t="str">
        <f>IF(ISBLANK(B49),"",VLOOKUP(B49,Entries!$A$4:$C$70,3,FALSE))</f>
        <v>Havering 90 A</v>
      </c>
      <c r="E49" s="30">
        <f t="shared" si="1"/>
        <v>47</v>
      </c>
      <c r="F49" s="30">
        <f>IF(ISBLANK(B49),"",VLOOKUP(B49,Overall!$B$4:$AR$75,13,FALSE))</f>
        <v>176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62</v>
      </c>
      <c r="J49" s="31" t="s">
        <v>188</v>
      </c>
      <c r="K49" s="30">
        <v>102</v>
      </c>
      <c r="AA49" s="25">
        <v>34</v>
      </c>
      <c r="AB49" s="25">
        <v>57</v>
      </c>
      <c r="AC49" s="25" t="s">
        <v>0</v>
      </c>
      <c r="AD49" s="24" t="s">
        <v>181</v>
      </c>
      <c r="AE49" s="25">
        <v>34</v>
      </c>
      <c r="AF49" s="25">
        <v>108</v>
      </c>
    </row>
    <row r="50" spans="1:32" ht="15">
      <c r="A50" s="30">
        <v>48</v>
      </c>
      <c r="B50" s="30">
        <v>68</v>
      </c>
      <c r="C50" s="30" t="str">
        <f>IF(ISBLANK(B50),"",VLOOKUP(B50,Entries!$A$4:$C$70,2,FALSE))</f>
        <v>L</v>
      </c>
      <c r="D50" s="31" t="str">
        <f>IF(ISBLANK(B50),"",VLOOKUP(B50,Entries!$A$4:$C$70,3,FALSE))</f>
        <v>Pitsea RC Ladies</v>
      </c>
      <c r="E50" s="30">
        <f t="shared" si="1"/>
        <v>48</v>
      </c>
      <c r="F50" s="30">
        <f>IF(ISBLANK(B50),"",VLOOKUP(B50,Overall!$B$4:$AR$75,13,FALSE))</f>
        <v>150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65</v>
      </c>
      <c r="J50" s="31" t="s">
        <v>192</v>
      </c>
      <c r="K50" s="30">
        <v>105</v>
      </c>
      <c r="AA50" s="25">
        <v>22</v>
      </c>
      <c r="AB50" s="25">
        <v>61</v>
      </c>
      <c r="AC50" s="25" t="s">
        <v>0</v>
      </c>
      <c r="AD50" s="24" t="s">
        <v>187</v>
      </c>
      <c r="AE50" s="25">
        <v>22</v>
      </c>
      <c r="AF50" s="25">
        <v>110</v>
      </c>
    </row>
    <row r="51" spans="1:32" ht="15">
      <c r="A51" s="30">
        <v>49</v>
      </c>
      <c r="B51" s="30">
        <v>40</v>
      </c>
      <c r="C51" s="30" t="str">
        <f>IF(ISBLANK(B51),"",VLOOKUP(B51,Entries!$A$4:$C$70,2,FALSE))</f>
        <v>A</v>
      </c>
      <c r="D51" s="31" t="str">
        <f>IF(ISBLANK(B51),"",VLOOKUP(B51,Entries!$A$4:$C$70,3,FALSE))</f>
        <v>Pitsea RC Men </v>
      </c>
      <c r="E51" s="30">
        <f t="shared" si="1"/>
        <v>49</v>
      </c>
      <c r="F51" s="30">
        <f>IF(ISBLANK(B51),"",VLOOKUP(B51,Overall!$B$4:$AR$75,13,FALSE))</f>
        <v>109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57</v>
      </c>
      <c r="J51" s="31" t="s">
        <v>181</v>
      </c>
      <c r="K51" s="30">
        <v>108</v>
      </c>
      <c r="AA51" s="25">
        <v>52</v>
      </c>
      <c r="AB51" s="25">
        <v>60</v>
      </c>
      <c r="AC51" s="25" t="s">
        <v>0</v>
      </c>
      <c r="AD51" s="24" t="s">
        <v>184</v>
      </c>
      <c r="AE51" s="25">
        <v>52</v>
      </c>
      <c r="AF51" s="25">
        <v>133</v>
      </c>
    </row>
    <row r="52" spans="1:32" ht="15">
      <c r="A52" s="30">
        <v>50</v>
      </c>
      <c r="B52" s="30">
        <v>34</v>
      </c>
      <c r="C52" s="30" t="str">
        <f>IF(ISBLANK(B52),"",VLOOKUP(B52,Entries!$A$4:$C$70,2,FALSE))</f>
        <v>A</v>
      </c>
      <c r="D52" s="31" t="str">
        <f>IF(ISBLANK(B52),"",VLOOKUP(B52,Entries!$A$4:$C$70,3,FALSE))</f>
        <v>Grange Farm C</v>
      </c>
      <c r="E52" s="30">
        <f t="shared" si="1"/>
        <v>50</v>
      </c>
      <c r="F52" s="30">
        <f>IF(ISBLANK(B52),"",VLOOKUP(B52,Overall!$B$4:$AR$75,13,FALSE))</f>
        <v>85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61</v>
      </c>
      <c r="J52" s="31" t="s">
        <v>187</v>
      </c>
      <c r="K52" s="30">
        <v>110</v>
      </c>
      <c r="AA52" s="25">
        <v>42</v>
      </c>
      <c r="AB52" s="25">
        <v>58</v>
      </c>
      <c r="AC52" s="25" t="s">
        <v>0</v>
      </c>
      <c r="AD52" s="24" t="s">
        <v>182</v>
      </c>
      <c r="AE52" s="25">
        <v>42</v>
      </c>
      <c r="AF52" s="25">
        <v>136</v>
      </c>
    </row>
    <row r="53" spans="1:32" ht="15">
      <c r="A53" s="30">
        <v>51</v>
      </c>
      <c r="B53" s="30">
        <v>41</v>
      </c>
      <c r="C53" s="30" t="str">
        <f>IF(ISBLANK(B53),"",VLOOKUP(B53,Entries!$A$4:$C$70,2,FALSE))</f>
        <v>A</v>
      </c>
      <c r="D53" s="31" t="str">
        <f>IF(ISBLANK(B53),"",VLOOKUP(B53,Entries!$A$4:$C$70,3,FALSE))</f>
        <v>Pitsea RC Mixed</v>
      </c>
      <c r="E53" s="30">
        <f t="shared" si="1"/>
        <v>51</v>
      </c>
      <c r="F53" s="30">
        <f>IF(ISBLANK(B53),"",VLOOKUP(B53,Overall!$B$4:$AR$75,13,FALSE))</f>
        <v>160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60</v>
      </c>
      <c r="J53" s="31" t="s">
        <v>184</v>
      </c>
      <c r="K53" s="30">
        <v>133</v>
      </c>
      <c r="AA53" s="25">
        <v>55</v>
      </c>
      <c r="AB53" s="25">
        <v>67</v>
      </c>
      <c r="AC53" s="25" t="s">
        <v>0</v>
      </c>
      <c r="AD53" s="24" t="s">
        <v>196</v>
      </c>
      <c r="AE53" s="25">
        <v>55</v>
      </c>
      <c r="AF53" s="25">
        <v>138</v>
      </c>
    </row>
    <row r="54" spans="1:32" ht="15">
      <c r="A54" s="30">
        <v>52</v>
      </c>
      <c r="B54" s="30">
        <v>60</v>
      </c>
      <c r="C54" s="30" t="str">
        <f>IF(ISBLANK(B54),"",VLOOKUP(B54,Entries!$A$4:$C$70,2,FALSE))</f>
        <v>L</v>
      </c>
      <c r="D54" s="31" t="str">
        <f>IF(ISBLANK(B54),"",VLOOKUP(B54,Entries!$A$4:$C$70,3,FALSE))</f>
        <v>Tiptree Ladies</v>
      </c>
      <c r="E54" s="30">
        <f t="shared" si="1"/>
        <v>52</v>
      </c>
      <c r="F54" s="30">
        <f>IF(ISBLANK(B54),"",VLOOKUP(B54,Overall!$B$4:$AR$75,13,FALSE))</f>
        <v>133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58</v>
      </c>
      <c r="J54" s="31" t="s">
        <v>182</v>
      </c>
      <c r="K54" s="30">
        <v>136</v>
      </c>
      <c r="AA54" s="25">
        <v>36</v>
      </c>
      <c r="AB54" s="25">
        <v>70</v>
      </c>
      <c r="AC54" s="25" t="s">
        <v>0</v>
      </c>
      <c r="AD54" s="24" t="s">
        <v>199</v>
      </c>
      <c r="AE54" s="25">
        <v>36</v>
      </c>
      <c r="AF54" s="25">
        <v>142</v>
      </c>
    </row>
    <row r="55" spans="1:32" ht="15">
      <c r="A55" s="30">
        <v>53</v>
      </c>
      <c r="B55" s="30">
        <v>52</v>
      </c>
      <c r="C55" s="44" t="str">
        <f>IF(ISBLANK(B55),"",VLOOKUP(B55,Entries!$A$4:$C$70,2,FALSE))</f>
        <v>V</v>
      </c>
      <c r="D55" s="45" t="str">
        <f>IF(ISBLANK(B55),"",VLOOKUP(B55,Entries!$A$4:$C$70,3,FALSE))</f>
        <v>TGT Vets</v>
      </c>
      <c r="E55" s="44">
        <f t="shared" si="1"/>
        <v>53</v>
      </c>
      <c r="F55" s="44">
        <f>IF(ISBLANK(B55),"",VLOOKUP(B55,Overall!$B$4:$AR$75,13,FALSE))</f>
        <v>128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67</v>
      </c>
      <c r="J55" s="31" t="s">
        <v>196</v>
      </c>
      <c r="K55" s="30">
        <v>138</v>
      </c>
      <c r="AA55" s="25">
        <v>45</v>
      </c>
      <c r="AB55" s="25">
        <v>63</v>
      </c>
      <c r="AC55" s="25" t="s">
        <v>0</v>
      </c>
      <c r="AD55" s="24" t="s">
        <v>65</v>
      </c>
      <c r="AE55" s="25">
        <v>45</v>
      </c>
      <c r="AF55" s="25">
        <v>144</v>
      </c>
    </row>
    <row r="56" spans="1:32" ht="15">
      <c r="A56" s="30">
        <v>54</v>
      </c>
      <c r="B56" s="30">
        <v>14</v>
      </c>
      <c r="C56" s="44" t="str">
        <f>IF(ISBLANK(B56),"",VLOOKUP(B56,Entries!$A$4:$C$70,2,FALSE))</f>
        <v>A</v>
      </c>
      <c r="D56" s="45" t="str">
        <f>IF(ISBLANK(B56),"",VLOOKUP(B56,Entries!$A$4:$C$70,3,FALSE))</f>
        <v>Mid Essex Casuals C</v>
      </c>
      <c r="E56" s="44">
        <f aca="true" t="shared" si="2" ref="E56:E61">IF(ISBLANK(B56),"",A56)</f>
        <v>54</v>
      </c>
      <c r="F56" s="44">
        <f>IF(ISBLANK(B56),"",VLOOKUP(B56,Overall!$B$4:$AR$75,13,FALSE))</f>
        <v>99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70</v>
      </c>
      <c r="J56" s="31" t="s">
        <v>199</v>
      </c>
      <c r="K56" s="30">
        <v>142</v>
      </c>
      <c r="AA56" s="25">
        <v>48</v>
      </c>
      <c r="AB56" s="25">
        <v>68</v>
      </c>
      <c r="AC56" s="25" t="s">
        <v>0</v>
      </c>
      <c r="AD56" s="24" t="s">
        <v>197</v>
      </c>
      <c r="AE56" s="25">
        <v>48</v>
      </c>
      <c r="AF56" s="25">
        <v>150</v>
      </c>
    </row>
    <row r="57" spans="1:32" ht="15">
      <c r="A57" s="30">
        <v>55</v>
      </c>
      <c r="B57" s="30">
        <v>67</v>
      </c>
      <c r="C57" s="44" t="str">
        <f>IF(ISBLANK(B57),"",VLOOKUP(B57,Entries!$A$4:$C$70,2,FALSE))</f>
        <v>L</v>
      </c>
      <c r="D57" s="45" t="str">
        <f>IF(ISBLANK(B57),"",VLOOKUP(B57,Entries!$A$4:$C$70,3,FALSE))</f>
        <v>TGT Ladies B</v>
      </c>
      <c r="E57" s="44">
        <f t="shared" si="2"/>
        <v>55</v>
      </c>
      <c r="F57" s="44">
        <f>IF(ISBLANK(B57),"",VLOOKUP(B57,Overall!$B$4:$AR$75,13,FALSE))</f>
        <v>138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63</v>
      </c>
      <c r="J57" s="31" t="s">
        <v>65</v>
      </c>
      <c r="K57" s="30">
        <v>144</v>
      </c>
      <c r="AA57" s="25">
        <v>24</v>
      </c>
      <c r="AB57" s="25">
        <v>53</v>
      </c>
      <c r="AC57" s="25" t="s">
        <v>2</v>
      </c>
      <c r="AD57" s="24" t="s">
        <v>87</v>
      </c>
      <c r="AE57" s="25">
        <v>24</v>
      </c>
      <c r="AF57" s="25">
        <v>47</v>
      </c>
    </row>
    <row r="58" spans="1:32" ht="15">
      <c r="A58" s="30">
        <v>56</v>
      </c>
      <c r="B58" s="30">
        <v>3</v>
      </c>
      <c r="C58" s="44" t="str">
        <f>IF(ISBLANK(B58),"",VLOOKUP(B58,Entries!$A$4:$C$70,2,FALSE))</f>
        <v>A</v>
      </c>
      <c r="D58" s="45" t="str">
        <f>IF(ISBLANK(B58),"",VLOOKUP(B58,Entries!$A$4:$C$70,3,FALSE))</f>
        <v>Tiptree A</v>
      </c>
      <c r="E58" s="44">
        <f t="shared" si="2"/>
        <v>56</v>
      </c>
      <c r="F58" s="44">
        <f>IF(ISBLANK(B58),"",VLOOKUP(B58,Overall!$B$4:$AR$75,13,FALSE))</f>
        <v>154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68</v>
      </c>
      <c r="J58" s="45" t="s">
        <v>197</v>
      </c>
      <c r="K58" s="44">
        <v>150</v>
      </c>
      <c r="AA58" s="25">
        <v>18</v>
      </c>
      <c r="AB58" s="25">
        <v>50</v>
      </c>
      <c r="AC58" s="25" t="s">
        <v>2</v>
      </c>
      <c r="AD58" s="24" t="s">
        <v>44</v>
      </c>
      <c r="AE58" s="25">
        <v>18</v>
      </c>
      <c r="AF58" s="25">
        <v>49</v>
      </c>
    </row>
    <row r="59" spans="1:32" ht="15">
      <c r="A59" s="30">
        <v>57</v>
      </c>
      <c r="B59" s="30">
        <v>4</v>
      </c>
      <c r="C59" s="44" t="str">
        <f>IF(ISBLANK(B59),"",VLOOKUP(B59,Entries!$A$4:$C$70,2,FALSE))</f>
        <v>A</v>
      </c>
      <c r="D59" s="45" t="str">
        <f>IF(ISBLANK(B59),"",VLOOKUP(B59,Entries!$A$4:$C$70,3,FALSE))</f>
        <v>Tiptree B</v>
      </c>
      <c r="E59" s="44">
        <f t="shared" si="2"/>
        <v>57</v>
      </c>
      <c r="F59" s="44">
        <f>IF(ISBLANK(B59),"",VLOOKUP(B59,Overall!$B$4:$AR$75,13,FALSE))</f>
        <v>184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29</v>
      </c>
      <c r="AB59" s="25">
        <v>51</v>
      </c>
      <c r="AC59" s="25" t="s">
        <v>2</v>
      </c>
      <c r="AD59" s="24" t="s">
        <v>178</v>
      </c>
      <c r="AE59" s="25">
        <v>29</v>
      </c>
      <c r="AF59" s="25">
        <v>88</v>
      </c>
    </row>
    <row r="60" spans="1:32" ht="15">
      <c r="A60" s="30">
        <v>100</v>
      </c>
      <c r="B60" s="30">
        <v>35</v>
      </c>
      <c r="C60" s="44" t="str">
        <f>IF(ISBLANK(B60),"",VLOOKUP(B60,Entries!$A$4:$C$70,2,FALSE))</f>
        <v>A</v>
      </c>
      <c r="D60" s="45" t="str">
        <f>IF(ISBLANK(B60),"",VLOOKUP(B60,Entries!$A$4:$C$70,3,FALSE))</f>
        <v>Leigh on Sea Towels by Poolside</v>
      </c>
      <c r="E60" s="44">
        <f t="shared" si="2"/>
        <v>100</v>
      </c>
      <c r="F60" s="44">
        <f>IF(ISBLANK(B60),"",VLOOKUP(B60,Overall!$B$4:$AR$75,13,FALSE))</f>
        <v>159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7"/>
      <c r="J60" s="47"/>
      <c r="K60" s="48" t="s">
        <v>73</v>
      </c>
      <c r="AA60" s="25">
        <v>35</v>
      </c>
      <c r="AB60" s="25">
        <v>12</v>
      </c>
      <c r="AC60" s="25" t="s">
        <v>2</v>
      </c>
      <c r="AD60" s="24" t="s">
        <v>84</v>
      </c>
      <c r="AE60" s="25">
        <v>35</v>
      </c>
      <c r="AF60" s="25">
        <v>99</v>
      </c>
    </row>
    <row r="61" spans="1:32" ht="15">
      <c r="A61" s="30">
        <v>100</v>
      </c>
      <c r="B61" s="30">
        <v>39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D</v>
      </c>
      <c r="E61" s="30">
        <f t="shared" si="2"/>
        <v>100</v>
      </c>
      <c r="F61" s="30">
        <f>IF(ISBLANK(B61),"",VLOOKUP(B61,Overall!$B$4:$AR$75,13,FALSE))</f>
        <v>171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53</v>
      </c>
      <c r="J61" s="31" t="s">
        <v>87</v>
      </c>
      <c r="K61" s="30">
        <v>47</v>
      </c>
      <c r="AA61" s="25">
        <v>53</v>
      </c>
      <c r="AB61" s="25">
        <v>52</v>
      </c>
      <c r="AC61" s="25" t="s">
        <v>2</v>
      </c>
      <c r="AD61" s="24" t="s">
        <v>179</v>
      </c>
      <c r="AE61" s="25">
        <v>53</v>
      </c>
      <c r="AF61" s="25">
        <v>128</v>
      </c>
    </row>
    <row r="62" spans="8:11" ht="15">
      <c r="H62" s="30">
        <v>2</v>
      </c>
      <c r="I62" s="30">
        <v>50</v>
      </c>
      <c r="J62" s="31" t="s">
        <v>44</v>
      </c>
      <c r="K62" s="30">
        <v>49</v>
      </c>
    </row>
    <row r="63" spans="8:11" ht="15">
      <c r="H63" s="30">
        <v>3</v>
      </c>
      <c r="I63" s="30">
        <v>51</v>
      </c>
      <c r="J63" s="31" t="s">
        <v>178</v>
      </c>
      <c r="K63" s="30">
        <v>88</v>
      </c>
    </row>
    <row r="64" spans="8:11" ht="15">
      <c r="H64" s="30">
        <v>4</v>
      </c>
      <c r="I64" s="30">
        <v>12</v>
      </c>
      <c r="J64" s="31" t="s">
        <v>84</v>
      </c>
      <c r="K64" s="30">
        <v>99</v>
      </c>
    </row>
    <row r="65" spans="8:11" ht="15">
      <c r="H65" s="30">
        <v>5</v>
      </c>
      <c r="I65" s="30">
        <v>52</v>
      </c>
      <c r="J65" s="31" t="s">
        <v>179</v>
      </c>
      <c r="K65" s="30">
        <v>128</v>
      </c>
    </row>
    <row r="66" spans="8:11" ht="15">
      <c r="H66" s="36"/>
      <c r="I66" s="35"/>
      <c r="J66" s="35"/>
      <c r="K66" s="36"/>
    </row>
    <row r="67" spans="8:11" ht="15">
      <c r="H67" s="36"/>
      <c r="I67" s="35"/>
      <c r="J67" s="35"/>
      <c r="K67" s="36"/>
    </row>
    <row r="68" spans="8:11" ht="15">
      <c r="H68" s="36"/>
      <c r="I68" s="35"/>
      <c r="J68" s="35"/>
      <c r="K68" s="36"/>
    </row>
    <row r="69" spans="8:11" ht="15">
      <c r="H69" s="36"/>
      <c r="I69" s="35"/>
      <c r="J69" s="35"/>
      <c r="K69" s="36"/>
    </row>
    <row r="70" spans="8:11" ht="15">
      <c r="H70" s="36"/>
      <c r="I70" s="35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F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6.140625" style="25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4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8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24</v>
      </c>
      <c r="C3" s="30" t="str">
        <f>IF(ISBLANK(B3),"",VLOOKUP(B3,Entries!$A$4:$C$70,2,FALSE))</f>
        <v>A</v>
      </c>
      <c r="D3" s="31" t="str">
        <f>IF(ISBLANK(B3),"",VLOOKUP(B3,Entries!$A$4:$C$70,3,FALSE))</f>
        <v>Southend Men A</v>
      </c>
      <c r="E3" s="30">
        <f aca="true" t="shared" si="0" ref="E3:E32">IF(ISBLANK(B3),"",A3)</f>
        <v>1</v>
      </c>
      <c r="F3" s="30">
        <f>IF(ISBLANK(B3),"",VLOOKUP(B3,Overall!$B$4:$AR$75,17,FALSE))</f>
        <v>42</v>
      </c>
      <c r="H3" s="30">
        <v>1</v>
      </c>
      <c r="I3" s="30">
        <v>23</v>
      </c>
      <c r="J3" s="31" t="s">
        <v>81</v>
      </c>
      <c r="K3" s="30">
        <v>8</v>
      </c>
      <c r="AA3" s="25">
        <v>3</v>
      </c>
      <c r="AB3" s="25">
        <v>23</v>
      </c>
      <c r="AC3" s="25" t="s">
        <v>3</v>
      </c>
      <c r="AD3" s="24" t="s">
        <v>81</v>
      </c>
      <c r="AE3" s="25">
        <v>3</v>
      </c>
      <c r="AF3" s="25">
        <v>8</v>
      </c>
    </row>
    <row r="4" spans="1:32" ht="15">
      <c r="A4" s="30">
        <v>2</v>
      </c>
      <c r="B4" s="30">
        <v>17</v>
      </c>
      <c r="C4" s="30" t="str">
        <f>IF(ISBLANK(B4),"",VLOOKUP(B4,Entries!$A$4:$C$70,2,FALSE))</f>
        <v>A</v>
      </c>
      <c r="D4" s="31" t="str">
        <f>IF(ISBLANK(B4),"",VLOOKUP(B4,Entries!$A$4:$C$70,3,FALSE))</f>
        <v>Benfleet Men A</v>
      </c>
      <c r="E4" s="30">
        <f t="shared" si="0"/>
        <v>2</v>
      </c>
      <c r="F4" s="30">
        <f>IF(ISBLANK(B4),"",VLOOKUP(B4,Overall!$B$4:$AR$75,17,FALSE))</f>
        <v>18</v>
      </c>
      <c r="G4" s="25">
        <f>IF(ISBLANK($B3),"",IF($B4=$B3,"*",""))</f>
      </c>
      <c r="H4" s="30">
        <v>2</v>
      </c>
      <c r="I4" s="30">
        <v>17</v>
      </c>
      <c r="J4" s="31" t="s">
        <v>107</v>
      </c>
      <c r="K4" s="30">
        <v>18</v>
      </c>
      <c r="AA4" s="25">
        <v>2</v>
      </c>
      <c r="AB4" s="25">
        <v>17</v>
      </c>
      <c r="AC4" s="25" t="s">
        <v>3</v>
      </c>
      <c r="AD4" s="24" t="s">
        <v>107</v>
      </c>
      <c r="AE4" s="25">
        <v>2</v>
      </c>
      <c r="AF4" s="25">
        <v>18</v>
      </c>
    </row>
    <row r="5" spans="1:32" ht="15">
      <c r="A5" s="30">
        <v>3</v>
      </c>
      <c r="B5" s="30">
        <v>23</v>
      </c>
      <c r="C5" s="30" t="str">
        <f>IF(ISBLANK(B5),"",VLOOKUP(B5,Entries!$A$4:$C$70,2,FALSE))</f>
        <v>A</v>
      </c>
      <c r="D5" s="31" t="str">
        <f>IF(ISBLANK(B5),"",VLOOKUP(B5,Entries!$A$4:$C$70,3,FALSE))</f>
        <v>Springfield Striders Men A</v>
      </c>
      <c r="E5" s="30">
        <f t="shared" si="0"/>
        <v>3</v>
      </c>
      <c r="F5" s="30">
        <f>IF(ISBLANK(B5),"",VLOOKUP(B5,Overall!$B$4:$AR$75,17,FALSE))</f>
        <v>8</v>
      </c>
      <c r="G5" s="25">
        <f>IF(ISBLANK($B4),"",IF(OR($B5=$B4,$B5=$B3),"*",""))</f>
      </c>
      <c r="H5" s="30">
        <v>3</v>
      </c>
      <c r="I5" s="30">
        <v>9</v>
      </c>
      <c r="J5" s="31" t="s">
        <v>135</v>
      </c>
      <c r="K5" s="30">
        <v>20</v>
      </c>
      <c r="AA5" s="25">
        <v>8</v>
      </c>
      <c r="AB5" s="25">
        <v>9</v>
      </c>
      <c r="AC5" s="25" t="s">
        <v>3</v>
      </c>
      <c r="AD5" s="24" t="s">
        <v>135</v>
      </c>
      <c r="AE5" s="25">
        <v>8</v>
      </c>
      <c r="AF5" s="25">
        <v>20</v>
      </c>
    </row>
    <row r="6" spans="1:32" ht="15">
      <c r="A6" s="30">
        <v>4</v>
      </c>
      <c r="B6" s="30">
        <v>28</v>
      </c>
      <c r="C6" s="30" t="str">
        <f>IF(ISBLANK(B6),"",VLOOKUP(B6,Entries!$A$4:$C$70,2,FALSE))</f>
        <v>A</v>
      </c>
      <c r="D6" s="31" t="str">
        <f>IF(ISBLANK(B6),"",VLOOKUP(B6,Entries!$A$4:$C$70,3,FALSE))</f>
        <v>Ilford A</v>
      </c>
      <c r="E6" s="30">
        <f t="shared" si="0"/>
        <v>4</v>
      </c>
      <c r="F6" s="30">
        <f>IF(ISBLANK(B6),"",VLOOKUP(B6,Overall!$B$4:$AR$75,17,FALSE))</f>
        <v>24</v>
      </c>
      <c r="G6" s="25">
        <f>IF(ISBLANK($B5),"",IF(OR($B6=$B5,$B6=$B4,$B6=$B3),"*",""))</f>
      </c>
      <c r="H6" s="30">
        <v>4</v>
      </c>
      <c r="I6" s="30">
        <v>28</v>
      </c>
      <c r="J6" s="31" t="s">
        <v>91</v>
      </c>
      <c r="K6" s="30">
        <v>24</v>
      </c>
      <c r="AA6" s="25">
        <v>4</v>
      </c>
      <c r="AB6" s="25">
        <v>28</v>
      </c>
      <c r="AC6" s="25" t="s">
        <v>3</v>
      </c>
      <c r="AD6" s="24" t="s">
        <v>91</v>
      </c>
      <c r="AE6" s="25">
        <v>4</v>
      </c>
      <c r="AF6" s="25">
        <v>24</v>
      </c>
    </row>
    <row r="7" spans="1:32" ht="15">
      <c r="A7" s="30">
        <v>5</v>
      </c>
      <c r="B7" s="30">
        <v>18</v>
      </c>
      <c r="C7" s="30" t="str">
        <f>IF(ISBLANK(B7),"",VLOOKUP(B7,Entries!$A$4:$C$70,2,FALSE))</f>
        <v>A</v>
      </c>
      <c r="D7" s="31" t="str">
        <f>IF(ISBLANK(B7),"",VLOOKUP(B7,Entries!$A$4:$C$70,3,FALSE))</f>
        <v>Benfleet Men B</v>
      </c>
      <c r="E7" s="30">
        <f t="shared" si="0"/>
        <v>5</v>
      </c>
      <c r="F7" s="30">
        <f>IF(ISBLANK(B7),"",VLOOKUP(B7,Overall!$B$4:$AR$75,17,FALSE))</f>
        <v>38</v>
      </c>
      <c r="G7" s="25">
        <f>IF(ISBLANK($B6),"",IF(OR($B7=$B6,$B7=$B5,$B7=$B4,$B7=$B3),"*",""))</f>
      </c>
      <c r="H7" s="30">
        <v>5</v>
      </c>
      <c r="I7" s="30">
        <v>31</v>
      </c>
      <c r="J7" s="31" t="s">
        <v>101</v>
      </c>
      <c r="K7" s="30">
        <v>24</v>
      </c>
      <c r="AA7" s="25">
        <v>7</v>
      </c>
      <c r="AB7" s="25">
        <v>31</v>
      </c>
      <c r="AC7" s="25" t="s">
        <v>3</v>
      </c>
      <c r="AD7" s="24" t="s">
        <v>101</v>
      </c>
      <c r="AE7" s="25">
        <v>7</v>
      </c>
      <c r="AF7" s="25">
        <v>24</v>
      </c>
    </row>
    <row r="8" spans="1:32" ht="15">
      <c r="A8" s="30">
        <v>6</v>
      </c>
      <c r="B8" s="30">
        <v>32</v>
      </c>
      <c r="C8" s="30" t="str">
        <f>IF(ISBLANK(B8),"",VLOOKUP(B8,Entries!$A$4:$C$70,2,FALSE))</f>
        <v>A</v>
      </c>
      <c r="D8" s="31" t="str">
        <f>IF(ISBLANK(B8),"",VLOOKUP(B8,Entries!$A$4:$C$70,3,FALSE))</f>
        <v>Grange Farm A</v>
      </c>
      <c r="E8" s="30">
        <f t="shared" si="0"/>
        <v>6</v>
      </c>
      <c r="F8" s="30">
        <f>IF(ISBLANK(B8),"",VLOOKUP(B8,Overall!$B$4:$AR$75,17,FALSE))</f>
        <v>30</v>
      </c>
      <c r="G8" s="25">
        <f>IF(ISBLANK($B7),"",IF(OR($B8=$B7,$B8=$B6,$B8=$B5,$B8=$B4,$B8=$B3),"*",""))</f>
      </c>
      <c r="H8" s="30">
        <v>6</v>
      </c>
      <c r="I8" s="30">
        <v>32</v>
      </c>
      <c r="J8" s="31" t="s">
        <v>163</v>
      </c>
      <c r="K8" s="30">
        <v>30</v>
      </c>
      <c r="AA8" s="25">
        <v>6</v>
      </c>
      <c r="AB8" s="25">
        <v>32</v>
      </c>
      <c r="AC8" s="25" t="s">
        <v>3</v>
      </c>
      <c r="AD8" s="24" t="s">
        <v>163</v>
      </c>
      <c r="AE8" s="25">
        <v>6</v>
      </c>
      <c r="AF8" s="25">
        <v>30</v>
      </c>
    </row>
    <row r="9" spans="1:32" ht="15">
      <c r="A9" s="30">
        <v>7</v>
      </c>
      <c r="B9" s="30">
        <v>31</v>
      </c>
      <c r="C9" s="30" t="str">
        <f>IF(ISBLANK(B9),"",VLOOKUP(B9,Entries!$A$4:$C$70,2,FALSE))</f>
        <v>A</v>
      </c>
      <c r="D9" s="31" t="str">
        <f>IF(ISBLANK(B9),"",VLOOKUP(B9,Entries!$A$4:$C$70,3,FALSE))</f>
        <v>Springfield Striders Men B</v>
      </c>
      <c r="E9" s="30">
        <f t="shared" si="0"/>
        <v>7</v>
      </c>
      <c r="F9" s="30">
        <f>IF(ISBLANK(B9),"",VLOOKUP(B9,Overall!$B$4:$AR$75,17,FALSE))</f>
        <v>24</v>
      </c>
      <c r="G9" s="25">
        <f>IF(ISBLANK($B8),"",IF(OR($B9=$B8,$B9=$B7,$B9=$B6,$B9=$B5,$B9=$B4,$B9=$B3),"*",""))</f>
      </c>
      <c r="H9" s="30">
        <v>7</v>
      </c>
      <c r="I9" s="30">
        <v>21</v>
      </c>
      <c r="J9" s="31" t="s">
        <v>149</v>
      </c>
      <c r="K9" s="30">
        <v>35</v>
      </c>
      <c r="AA9" s="25">
        <v>19</v>
      </c>
      <c r="AB9" s="25">
        <v>21</v>
      </c>
      <c r="AC9" s="25" t="s">
        <v>3</v>
      </c>
      <c r="AD9" s="24" t="s">
        <v>149</v>
      </c>
      <c r="AE9" s="25">
        <v>19</v>
      </c>
      <c r="AF9" s="25">
        <v>35</v>
      </c>
    </row>
    <row r="10" spans="1:32" ht="15">
      <c r="A10" s="30">
        <v>8</v>
      </c>
      <c r="B10" s="30">
        <v>9</v>
      </c>
      <c r="C10" s="30" t="str">
        <f>IF(ISBLANK(B10),"",VLOOKUP(B10,Entries!$A$4:$C$70,2,FALSE))</f>
        <v>A</v>
      </c>
      <c r="D10" s="31" t="str">
        <f>IF(ISBLANK(B10),"",VLOOKUP(B10,Entries!$A$4:$C$70,3,FALSE))</f>
        <v>Leigh on Sea Striders - I liked the Boys</v>
      </c>
      <c r="E10" s="30">
        <f t="shared" si="0"/>
        <v>8</v>
      </c>
      <c r="F10" s="30">
        <f>IF(ISBLANK(B10),"",VLOOKUP(B10,Overall!$B$4:$AR$75,17,FALSE))</f>
        <v>20</v>
      </c>
      <c r="G10" s="25">
        <f>IF(ISBLANK($B9),"",IF(OR($B10=$B9,$B10=$B8,$B10=$B7,$B10=$B6,$B10=$B5,$B10=$B4,$B10=$B3),"*",""))</f>
      </c>
      <c r="H10" s="30">
        <v>8</v>
      </c>
      <c r="I10" s="30">
        <v>18</v>
      </c>
      <c r="J10" s="31" t="s">
        <v>109</v>
      </c>
      <c r="K10" s="30">
        <v>38</v>
      </c>
      <c r="AA10" s="25">
        <v>5</v>
      </c>
      <c r="AB10" s="25">
        <v>18</v>
      </c>
      <c r="AC10" s="25" t="s">
        <v>3</v>
      </c>
      <c r="AD10" s="24" t="s">
        <v>109</v>
      </c>
      <c r="AE10" s="25">
        <v>5</v>
      </c>
      <c r="AF10" s="25">
        <v>38</v>
      </c>
    </row>
    <row r="11" spans="1:32" ht="15">
      <c r="A11" s="30">
        <v>9</v>
      </c>
      <c r="B11" s="30">
        <v>5</v>
      </c>
      <c r="C11" s="30" t="str">
        <f>IF(ISBLANK(B11),"",VLOOKUP(B11,Entries!$A$4:$C$70,2,FALSE))</f>
        <v>A</v>
      </c>
      <c r="D11" s="31" t="str">
        <f>IF(ISBLANK(B11),"",VLOOKUP(B11,Entries!$A$4:$C$70,3,FALSE))</f>
        <v>Tiptree Men</v>
      </c>
      <c r="E11" s="30">
        <f t="shared" si="0"/>
        <v>9</v>
      </c>
      <c r="F11" s="30">
        <f>IF(ISBLANK(B11),"",VLOOKUP(B11,Overall!$B$4:$AR$75,17,FALSE))</f>
        <v>39</v>
      </c>
      <c r="G11" s="25">
        <f>IF(ISBLANK($B10),"",IF(OR($B11=$B10,$B11=$B9,$B11=$B8,$B11=$B7,$B11=$B6,$B11=$B5,$B11=$B4,$B11=$B3),"*",""))</f>
      </c>
      <c r="H11" s="30">
        <v>9</v>
      </c>
      <c r="I11" s="30">
        <v>5</v>
      </c>
      <c r="J11" s="31" t="s">
        <v>124</v>
      </c>
      <c r="K11" s="30">
        <v>39</v>
      </c>
      <c r="AA11" s="25">
        <v>9</v>
      </c>
      <c r="AB11" s="25">
        <v>5</v>
      </c>
      <c r="AC11" s="25" t="s">
        <v>3</v>
      </c>
      <c r="AD11" s="24" t="s">
        <v>124</v>
      </c>
      <c r="AE11" s="25">
        <v>9</v>
      </c>
      <c r="AF11" s="25">
        <v>39</v>
      </c>
    </row>
    <row r="12" spans="1:32" ht="15">
      <c r="A12" s="30">
        <v>10</v>
      </c>
      <c r="B12" s="30">
        <v>33</v>
      </c>
      <c r="C12" s="30" t="str">
        <f>IF(ISBLANK(B12),"",VLOOKUP(B12,Entries!$A$4:$C$70,2,FALSE))</f>
        <v>A</v>
      </c>
      <c r="D12" s="31" t="str">
        <f>IF(ISBLANK(B12),"",VLOOKUP(B12,Entries!$A$4:$C$70,3,FALSE))</f>
        <v>Grange Farm B</v>
      </c>
      <c r="E12" s="30">
        <f t="shared" si="0"/>
        <v>10</v>
      </c>
      <c r="F12" s="30">
        <f>IF(ISBLANK(B12),"",VLOOKUP(B12,Overall!$B$4:$AR$75,17,FALSE))</f>
        <v>80</v>
      </c>
      <c r="G12" s="25">
        <f>IF(ISBLANK($B12),"",IF(OR($B12=$B11,$B12=$B10,$B12=$B9,$B12=$B8,$B12=$B7,$B12=$B6,$B12=$B5,$B12=$B4,$B12=$B3),"*",""))</f>
      </c>
      <c r="H12" s="30">
        <v>10</v>
      </c>
      <c r="I12" s="30">
        <v>24</v>
      </c>
      <c r="J12" s="31" t="s">
        <v>157</v>
      </c>
      <c r="K12" s="30">
        <v>42</v>
      </c>
      <c r="AA12" s="25">
        <v>1</v>
      </c>
      <c r="AB12" s="25">
        <v>24</v>
      </c>
      <c r="AC12" s="25" t="s">
        <v>3</v>
      </c>
      <c r="AD12" s="24" t="s">
        <v>157</v>
      </c>
      <c r="AE12" s="25">
        <v>1</v>
      </c>
      <c r="AF12" s="25">
        <v>42</v>
      </c>
    </row>
    <row r="13" spans="1:32" ht="15">
      <c r="A13" s="30">
        <v>11</v>
      </c>
      <c r="B13" s="30">
        <v>35</v>
      </c>
      <c r="C13" s="30" t="str">
        <f>IF(ISBLANK(B13),"",VLOOKUP(B13,Entries!$A$4:$C$70,2,FALSE))</f>
        <v>A</v>
      </c>
      <c r="D13" s="31" t="str">
        <f>IF(ISBLANK(B13),"",VLOOKUP(B13,Entries!$A$4:$C$70,3,FALSE))</f>
        <v>Leigh on Sea Towels by Poolside</v>
      </c>
      <c r="E13" s="30">
        <f t="shared" si="0"/>
        <v>11</v>
      </c>
      <c r="F13" s="30">
        <f>IF(ISBLANK(B13),"",VLOOKUP(B13,Overall!$B$4:$AR$75,17,FALSE))</f>
        <v>170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36</v>
      </c>
      <c r="J13" s="31" t="s">
        <v>102</v>
      </c>
      <c r="K13" s="30">
        <v>59</v>
      </c>
      <c r="AA13" s="25">
        <v>13</v>
      </c>
      <c r="AB13" s="25">
        <v>36</v>
      </c>
      <c r="AC13" s="25" t="s">
        <v>3</v>
      </c>
      <c r="AD13" s="24" t="s">
        <v>102</v>
      </c>
      <c r="AE13" s="25">
        <v>13</v>
      </c>
      <c r="AF13" s="25">
        <v>59</v>
      </c>
    </row>
    <row r="14" spans="1:32" ht="15">
      <c r="A14" s="30">
        <v>12</v>
      </c>
      <c r="B14" s="30">
        <v>7</v>
      </c>
      <c r="C14" s="30" t="str">
        <f>IF(ISBLANK(B14),"",VLOOKUP(B14,Entries!$A$4:$C$70,2,FALSE))</f>
        <v>A</v>
      </c>
      <c r="D14" s="31" t="str">
        <f>IF(ISBLANK(B14),"",VLOOKUP(B14,Entries!$A$4:$C$70,3,FALSE))</f>
        <v>Halstead Road Runners</v>
      </c>
      <c r="E14" s="30">
        <f t="shared" si="0"/>
        <v>12</v>
      </c>
      <c r="F14" s="30">
        <f>IF(ISBLANK(B14),"",VLOOKUP(B14,Overall!$B$4:$AR$75,17,FALSE))</f>
        <v>70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7</v>
      </c>
      <c r="J14" s="31" t="s">
        <v>129</v>
      </c>
      <c r="K14" s="30">
        <v>70</v>
      </c>
      <c r="AA14" s="25">
        <v>12</v>
      </c>
      <c r="AB14" s="25">
        <v>7</v>
      </c>
      <c r="AC14" s="25" t="s">
        <v>3</v>
      </c>
      <c r="AD14" s="24" t="s">
        <v>129</v>
      </c>
      <c r="AE14" s="25">
        <v>12</v>
      </c>
      <c r="AF14" s="25">
        <v>70</v>
      </c>
    </row>
    <row r="15" spans="1:32" ht="15">
      <c r="A15" s="30">
        <v>13</v>
      </c>
      <c r="B15" s="30">
        <v>36</v>
      </c>
      <c r="C15" s="30" t="str">
        <f>IF(ISBLANK(B15),"",VLOOKUP(B15,Entries!$A$4:$C$70,2,FALSE))</f>
        <v>A</v>
      </c>
      <c r="D15" s="31" t="str">
        <f>IF(ISBLANK(B15),"",VLOOKUP(B15,Entries!$A$4:$C$70,3,FALSE))</f>
        <v>Springfield Striders Mixed A</v>
      </c>
      <c r="E15" s="30">
        <f t="shared" si="0"/>
        <v>13</v>
      </c>
      <c r="F15" s="30">
        <f>IF(ISBLANK(B15),"",VLOOKUP(B15,Overall!$B$4:$AR$75,17,FALSE))</f>
        <v>59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25</v>
      </c>
      <c r="J15" s="31" t="s">
        <v>160</v>
      </c>
      <c r="K15" s="30">
        <v>73</v>
      </c>
      <c r="AA15" s="25">
        <v>15</v>
      </c>
      <c r="AB15" s="25">
        <v>25</v>
      </c>
      <c r="AC15" s="25" t="s">
        <v>3</v>
      </c>
      <c r="AD15" s="24" t="s">
        <v>160</v>
      </c>
      <c r="AE15" s="25">
        <v>15</v>
      </c>
      <c r="AF15" s="25">
        <v>73</v>
      </c>
    </row>
    <row r="16" spans="1:32" ht="15">
      <c r="A16" s="30">
        <v>14</v>
      </c>
      <c r="B16" s="30">
        <v>1</v>
      </c>
      <c r="C16" s="30" t="str">
        <f>IF(ISBLANK(B16),"",VLOOKUP(B16,Entries!$A$4:$C$70,2,FALSE))</f>
        <v>A</v>
      </c>
      <c r="D16" s="31" t="str">
        <f>IF(ISBLANK(B16),"",VLOOKUP(B16,Entries!$A$4:$C$70,3,FALSE))</f>
        <v>Eton Manor AC</v>
      </c>
      <c r="E16" s="30">
        <f t="shared" si="0"/>
        <v>14</v>
      </c>
      <c r="F16" s="30">
        <f>IF(ISBLANK(B16),"",VLOOKUP(B16,Overall!$B$4:$AR$75,17,FALSE))</f>
        <v>132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13</v>
      </c>
      <c r="J16" s="31" t="s">
        <v>85</v>
      </c>
      <c r="K16" s="30">
        <v>79</v>
      </c>
      <c r="AA16" s="25">
        <v>30</v>
      </c>
      <c r="AB16" s="25">
        <v>13</v>
      </c>
      <c r="AC16" s="25" t="s">
        <v>3</v>
      </c>
      <c r="AD16" s="24" t="s">
        <v>85</v>
      </c>
      <c r="AE16" s="25">
        <v>30</v>
      </c>
      <c r="AF16" s="25">
        <v>79</v>
      </c>
    </row>
    <row r="17" spans="1:32" ht="15">
      <c r="A17" s="30">
        <v>15</v>
      </c>
      <c r="B17" s="30">
        <v>25</v>
      </c>
      <c r="C17" s="30" t="str">
        <f>IF(ISBLANK(B17),"",VLOOKUP(B17,Entries!$A$4:$C$70,2,FALSE))</f>
        <v>A</v>
      </c>
      <c r="D17" s="31" t="str">
        <f>IF(ISBLANK(B17),"",VLOOKUP(B17,Entries!$A$4:$C$70,3,FALSE))</f>
        <v>Southend Men B</v>
      </c>
      <c r="E17" s="30">
        <f t="shared" si="0"/>
        <v>15</v>
      </c>
      <c r="F17" s="30">
        <f>IF(ISBLANK(B17),"",VLOOKUP(B17,Overall!$B$4:$AR$75,17,FALSE))</f>
        <v>73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33</v>
      </c>
      <c r="J17" s="31" t="s">
        <v>166</v>
      </c>
      <c r="K17" s="30">
        <v>80</v>
      </c>
      <c r="AA17" s="25">
        <v>10</v>
      </c>
      <c r="AB17" s="25">
        <v>33</v>
      </c>
      <c r="AC17" s="25" t="s">
        <v>3</v>
      </c>
      <c r="AD17" s="24" t="s">
        <v>166</v>
      </c>
      <c r="AE17" s="25">
        <v>10</v>
      </c>
      <c r="AF17" s="25">
        <v>80</v>
      </c>
    </row>
    <row r="18" spans="1:32" ht="15">
      <c r="A18" s="30">
        <v>16</v>
      </c>
      <c r="B18" s="30">
        <v>64</v>
      </c>
      <c r="C18" s="30" t="str">
        <f>IF(ISBLANK(B18),"",VLOOKUP(B18,Entries!$A$4:$C$70,2,FALSE))</f>
        <v>L</v>
      </c>
      <c r="D18" s="31" t="str">
        <f>IF(ISBLANK(B18),"",VLOOKUP(B18,Entries!$A$4:$C$70,3,FALSE))</f>
        <v>Benfleet Ladies A</v>
      </c>
      <c r="E18" s="30">
        <f t="shared" si="0"/>
        <v>16</v>
      </c>
      <c r="F18" s="30">
        <f>IF(ISBLANK(B18),"",VLOOKUP(B18,Overall!$B$4:$AR$75,17,FALSE))</f>
        <v>57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26</v>
      </c>
      <c r="J18" s="31" t="s">
        <v>162</v>
      </c>
      <c r="K18" s="30">
        <v>91</v>
      </c>
      <c r="AA18" s="25">
        <v>29</v>
      </c>
      <c r="AB18" s="25">
        <v>26</v>
      </c>
      <c r="AC18" s="25" t="s">
        <v>3</v>
      </c>
      <c r="AD18" s="24" t="s">
        <v>162</v>
      </c>
      <c r="AE18" s="25">
        <v>29</v>
      </c>
      <c r="AF18" s="25">
        <v>91</v>
      </c>
    </row>
    <row r="19" spans="1:32" ht="15">
      <c r="A19" s="30">
        <v>17</v>
      </c>
      <c r="B19" s="30">
        <v>50</v>
      </c>
      <c r="C19" s="30" t="str">
        <f>IF(ISBLANK(B19),"",VLOOKUP(B19,Entries!$A$4:$C$70,2,FALSE))</f>
        <v>V</v>
      </c>
      <c r="D19" s="31" t="str">
        <f>IF(ISBLANK(B19),"",VLOOKUP(B19,Entries!$A$4:$C$70,3,FALSE))</f>
        <v>Harwich Runners Vets</v>
      </c>
      <c r="E19" s="30">
        <f t="shared" si="0"/>
        <v>17</v>
      </c>
      <c r="F19" s="30">
        <f>IF(ISBLANK(B19),"",VLOOKUP(B19,Overall!$B$4:$AR$75,17,FALSE))</f>
        <v>66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19</v>
      </c>
      <c r="J19" s="31" t="s">
        <v>110</v>
      </c>
      <c r="K19" s="30">
        <v>103</v>
      </c>
      <c r="AA19" s="25">
        <v>39</v>
      </c>
      <c r="AB19" s="25">
        <v>19</v>
      </c>
      <c r="AC19" s="25" t="s">
        <v>3</v>
      </c>
      <c r="AD19" s="24" t="s">
        <v>110</v>
      </c>
      <c r="AE19" s="25">
        <v>39</v>
      </c>
      <c r="AF19" s="25">
        <v>103</v>
      </c>
    </row>
    <row r="20" spans="1:32" ht="15">
      <c r="A20" s="30">
        <v>18</v>
      </c>
      <c r="B20" s="30">
        <v>58</v>
      </c>
      <c r="C20" s="30" t="str">
        <f>IF(ISBLANK(B20),"",VLOOKUP(B20,Entries!$A$4:$C$70,2,FALSE))</f>
        <v>L</v>
      </c>
      <c r="D20" s="31" t="str">
        <f>IF(ISBLANK(B20),"",VLOOKUP(B20,Entries!$A$4:$C$70,3,FALSE))</f>
        <v>Springfield Striders Ladies B</v>
      </c>
      <c r="E20" s="30">
        <f t="shared" si="0"/>
        <v>18</v>
      </c>
      <c r="F20" s="30">
        <f>IF(ISBLANK(B20),"",VLOOKUP(B20,Overall!$B$4:$AR$75,17,FALSE))</f>
        <v>154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10</v>
      </c>
      <c r="J20" s="31" t="s">
        <v>136</v>
      </c>
      <c r="K20" s="30">
        <v>113</v>
      </c>
      <c r="AA20" s="25">
        <v>27</v>
      </c>
      <c r="AB20" s="25">
        <v>10</v>
      </c>
      <c r="AC20" s="25" t="s">
        <v>3</v>
      </c>
      <c r="AD20" s="24" t="s">
        <v>136</v>
      </c>
      <c r="AE20" s="25">
        <v>27</v>
      </c>
      <c r="AF20" s="25">
        <v>113</v>
      </c>
    </row>
    <row r="21" spans="1:32" ht="15">
      <c r="A21" s="30">
        <v>19</v>
      </c>
      <c r="B21" s="30">
        <v>21</v>
      </c>
      <c r="C21" s="30" t="str">
        <f>IF(ISBLANK(B21),"",VLOOKUP(B21,Entries!$A$4:$C$70,2,FALSE))</f>
        <v>A</v>
      </c>
      <c r="D21" s="31" t="str">
        <f>IF(ISBLANK(B21),"",VLOOKUP(B21,Entries!$A$4:$C$70,3,FALSE))</f>
        <v>TGT Men A</v>
      </c>
      <c r="E21" s="30">
        <f t="shared" si="0"/>
        <v>19</v>
      </c>
      <c r="F21" s="30">
        <f>IF(ISBLANK(B21),"",VLOOKUP(B21,Overall!$B$4:$AR$75,17,FALSE))</f>
        <v>35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37</v>
      </c>
      <c r="J21" s="31" t="s">
        <v>103</v>
      </c>
      <c r="K21" s="30">
        <v>116</v>
      </c>
      <c r="AA21" s="25">
        <v>33</v>
      </c>
      <c r="AB21" s="25">
        <v>37</v>
      </c>
      <c r="AC21" s="25" t="s">
        <v>3</v>
      </c>
      <c r="AD21" s="24" t="s">
        <v>103</v>
      </c>
      <c r="AE21" s="25">
        <v>33</v>
      </c>
      <c r="AF21" s="25">
        <v>116</v>
      </c>
    </row>
    <row r="22" spans="1:32" ht="15">
      <c r="A22" s="30">
        <v>20</v>
      </c>
      <c r="B22" s="30">
        <v>22</v>
      </c>
      <c r="C22" s="30" t="str">
        <f>IF(ISBLANK(B22),"",VLOOKUP(B22,Entries!$A$4:$C$70,2,FALSE))</f>
        <v>A</v>
      </c>
      <c r="D22" s="31" t="str">
        <f>IF(ISBLANK(B22),"",VLOOKUP(B22,Entries!$A$4:$C$70,3,FALSE))</f>
        <v>TGT Men B</v>
      </c>
      <c r="E22" s="30">
        <f t="shared" si="0"/>
        <v>20</v>
      </c>
      <c r="F22" s="30">
        <f>IF(ISBLANK(B22),"",VLOOKUP(B22,Overall!$B$4:$AR$75,17,FALSE))</f>
        <v>126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34</v>
      </c>
      <c r="J22" s="31" t="s">
        <v>167</v>
      </c>
      <c r="K22" s="30">
        <v>117</v>
      </c>
      <c r="AA22" s="25">
        <v>32</v>
      </c>
      <c r="AB22" s="25">
        <v>34</v>
      </c>
      <c r="AC22" s="25" t="s">
        <v>3</v>
      </c>
      <c r="AD22" s="24" t="s">
        <v>167</v>
      </c>
      <c r="AE22" s="25">
        <v>32</v>
      </c>
      <c r="AF22" s="25">
        <v>117</v>
      </c>
    </row>
    <row r="23" spans="1:32" ht="15">
      <c r="A23" s="30">
        <v>21</v>
      </c>
      <c r="B23" s="30">
        <v>2</v>
      </c>
      <c r="C23" s="30" t="str">
        <f>IF(ISBLANK(B23),"",VLOOKUP(B23,Entries!$A$4:$C$70,2,FALSE))</f>
        <v>A</v>
      </c>
      <c r="D23" s="31" t="str">
        <f>IF(ISBLANK(B23),"",VLOOKUP(B23,Entries!$A$4:$C$70,3,FALSE))</f>
        <v>Thurrock Nomads A</v>
      </c>
      <c r="E23" s="30">
        <f t="shared" si="0"/>
        <v>21</v>
      </c>
      <c r="F23" s="30">
        <f>IF(ISBLANK(B23),"",VLOOKUP(B23,Overall!$B$4:$AR$75,17,FALSE))</f>
        <v>158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22</v>
      </c>
      <c r="J23" s="31" t="s">
        <v>152</v>
      </c>
      <c r="K23" s="30">
        <v>126</v>
      </c>
      <c r="AA23" s="25">
        <v>20</v>
      </c>
      <c r="AB23" s="25">
        <v>22</v>
      </c>
      <c r="AC23" s="25" t="s">
        <v>3</v>
      </c>
      <c r="AD23" s="24" t="s">
        <v>152</v>
      </c>
      <c r="AE23" s="25">
        <v>20</v>
      </c>
      <c r="AF23" s="25">
        <v>126</v>
      </c>
    </row>
    <row r="24" spans="1:32" ht="15">
      <c r="A24" s="30">
        <v>22</v>
      </c>
      <c r="B24" s="30">
        <v>62</v>
      </c>
      <c r="C24" s="30" t="str">
        <f>IF(ISBLANK(B24),"",VLOOKUP(B24,Entries!$A$4:$C$70,2,FALSE))</f>
        <v>L</v>
      </c>
      <c r="D24" s="31" t="str">
        <f>IF(ISBLANK(B24),"",VLOOKUP(B24,Entries!$A$4:$C$70,3,FALSE))</f>
        <v>Leigh on Sea - Weekend without Make up</v>
      </c>
      <c r="E24" s="30">
        <f t="shared" si="0"/>
        <v>22</v>
      </c>
      <c r="F24" s="30">
        <f>IF(ISBLANK(B24),"",VLOOKUP(B24,Overall!$B$4:$AR$75,17,FALSE))</f>
        <v>124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1</v>
      </c>
      <c r="J24" s="31" t="s">
        <v>117</v>
      </c>
      <c r="K24" s="30">
        <v>132</v>
      </c>
      <c r="AA24" s="25">
        <v>14</v>
      </c>
      <c r="AB24" s="25">
        <v>1</v>
      </c>
      <c r="AC24" s="25" t="s">
        <v>3</v>
      </c>
      <c r="AD24" s="24" t="s">
        <v>117</v>
      </c>
      <c r="AE24" s="25">
        <v>14</v>
      </c>
      <c r="AF24" s="25">
        <v>132</v>
      </c>
    </row>
    <row r="25" spans="1:32" ht="15">
      <c r="A25" s="30">
        <v>23</v>
      </c>
      <c r="B25" s="30">
        <v>3</v>
      </c>
      <c r="C25" s="30" t="str">
        <f>IF(ISBLANK(B25),"",VLOOKUP(B25,Entries!$A$4:$C$70,2,FALSE))</f>
        <v>A</v>
      </c>
      <c r="D25" s="31" t="str">
        <f>IF(ISBLANK(B25),"",VLOOKUP(B25,Entries!$A$4:$C$70,3,FALSE))</f>
        <v>Tiptree A</v>
      </c>
      <c r="E25" s="30">
        <f t="shared" si="0"/>
        <v>23</v>
      </c>
      <c r="F25" s="30">
        <f>IF(ISBLANK(B25),"",VLOOKUP(B25,Overall!$B$4:$AR$75,17,FALSE))</f>
        <v>177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14</v>
      </c>
      <c r="J25" s="31" t="s">
        <v>141</v>
      </c>
      <c r="K25" s="30">
        <v>133</v>
      </c>
      <c r="AA25" s="25">
        <v>34</v>
      </c>
      <c r="AB25" s="25">
        <v>14</v>
      </c>
      <c r="AC25" s="25" t="s">
        <v>3</v>
      </c>
      <c r="AD25" s="24" t="s">
        <v>141</v>
      </c>
      <c r="AE25" s="25">
        <v>34</v>
      </c>
      <c r="AF25" s="25">
        <v>133</v>
      </c>
    </row>
    <row r="26" spans="1:32" ht="15">
      <c r="A26" s="30">
        <v>24</v>
      </c>
      <c r="B26" s="30">
        <v>66</v>
      </c>
      <c r="C26" s="30" t="str">
        <f>IF(ISBLANK(B26),"",VLOOKUP(B26,Entries!$A$4:$C$70,2,FALSE))</f>
        <v>L</v>
      </c>
      <c r="D26" s="31" t="str">
        <f>IF(ISBLANK(B26),"",VLOOKUP(B26,Entries!$A$4:$C$70,3,FALSE))</f>
        <v>TGT Ladies A</v>
      </c>
      <c r="E26" s="30">
        <f t="shared" si="0"/>
        <v>24</v>
      </c>
      <c r="F26" s="30">
        <f>IF(ISBLANK(B26),"",VLOOKUP(B26,Overall!$B$4:$AR$75,17,FALSE))</f>
        <v>116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40</v>
      </c>
      <c r="J26" s="31" t="s">
        <v>173</v>
      </c>
      <c r="K26" s="30">
        <v>150</v>
      </c>
      <c r="AA26" s="25">
        <v>41</v>
      </c>
      <c r="AB26" s="25">
        <v>40</v>
      </c>
      <c r="AC26" s="25" t="s">
        <v>3</v>
      </c>
      <c r="AD26" s="24" t="s">
        <v>173</v>
      </c>
      <c r="AE26" s="25">
        <v>41</v>
      </c>
      <c r="AF26" s="25">
        <v>150</v>
      </c>
    </row>
    <row r="27" spans="1:32" ht="15">
      <c r="A27" s="30">
        <v>25</v>
      </c>
      <c r="B27" s="30">
        <v>53</v>
      </c>
      <c r="C27" s="30" t="str">
        <f>IF(ISBLANK(B27),"",VLOOKUP(B27,Entries!$A$4:$C$70,2,FALSE))</f>
        <v>V</v>
      </c>
      <c r="D27" s="31" t="str">
        <f>IF(ISBLANK(B27),"",VLOOKUP(B27,Entries!$A$4:$C$70,3,FALSE))</f>
        <v>Springfield Striders Vets</v>
      </c>
      <c r="E27" s="30">
        <f t="shared" si="0"/>
        <v>25</v>
      </c>
      <c r="F27" s="30">
        <f>IF(ISBLANK(B27),"",VLOOKUP(B27,Overall!$B$4:$AR$75,17,FALSE))</f>
        <v>72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6</v>
      </c>
      <c r="J27" s="31" t="s">
        <v>127</v>
      </c>
      <c r="K27" s="30">
        <v>153</v>
      </c>
      <c r="AA27" s="25">
        <v>43</v>
      </c>
      <c r="AB27" s="25">
        <v>6</v>
      </c>
      <c r="AC27" s="25" t="s">
        <v>3</v>
      </c>
      <c r="AD27" s="24" t="s">
        <v>127</v>
      </c>
      <c r="AE27" s="25">
        <v>43</v>
      </c>
      <c r="AF27" s="25">
        <v>153</v>
      </c>
    </row>
    <row r="28" spans="1:32" ht="15">
      <c r="A28" s="30">
        <v>26</v>
      </c>
      <c r="B28" s="30">
        <v>59</v>
      </c>
      <c r="C28" s="30" t="str">
        <f>IF(ISBLANK(B28),"",VLOOKUP(B28,Entries!$A$4:$C$70,2,FALSE))</f>
        <v>L</v>
      </c>
      <c r="D28" s="31" t="str">
        <f>IF(ISBLANK(B28),"",VLOOKUP(B28,Entries!$A$4:$C$70,3,FALSE))</f>
        <v>Grange Farm Ladies</v>
      </c>
      <c r="E28" s="30">
        <f t="shared" si="0"/>
        <v>26</v>
      </c>
      <c r="F28" s="30">
        <f>IF(ISBLANK(B28),"",VLOOKUP(B28,Overall!$B$4:$AR$75,17,FALSE))</f>
        <v>111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2</v>
      </c>
      <c r="J28" s="31" t="s">
        <v>98</v>
      </c>
      <c r="K28" s="30">
        <v>158</v>
      </c>
      <c r="AA28" s="25">
        <v>21</v>
      </c>
      <c r="AB28" s="25">
        <v>2</v>
      </c>
      <c r="AC28" s="25" t="s">
        <v>3</v>
      </c>
      <c r="AD28" s="24" t="s">
        <v>98</v>
      </c>
      <c r="AE28" s="25">
        <v>21</v>
      </c>
      <c r="AF28" s="25">
        <v>158</v>
      </c>
    </row>
    <row r="29" spans="1:32" ht="15">
      <c r="A29" s="30">
        <v>27</v>
      </c>
      <c r="B29" s="30">
        <v>10</v>
      </c>
      <c r="C29" s="30" t="str">
        <f>IF(ISBLANK(B29),"",VLOOKUP(B29,Entries!$A$4:$C$70,2,FALSE))</f>
        <v>A</v>
      </c>
      <c r="D29" s="31" t="str">
        <f>IF(ISBLANK(B29),"",VLOOKUP(B29,Entries!$A$4:$C$70,3,FALSE))</f>
        <v>Colchester Harriers - Colchester Allsorts</v>
      </c>
      <c r="E29" s="30">
        <f t="shared" si="0"/>
        <v>27</v>
      </c>
      <c r="F29" s="30">
        <f>IF(ISBLANK(B29),"",VLOOKUP(B29,Overall!$B$4:$AR$75,17,FALSE))</f>
        <v>113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20</v>
      </c>
      <c r="J29" s="31" t="s">
        <v>145</v>
      </c>
      <c r="K29" s="30">
        <v>159</v>
      </c>
      <c r="AA29" s="25">
        <v>46</v>
      </c>
      <c r="AB29" s="25">
        <v>20</v>
      </c>
      <c r="AC29" s="25" t="s">
        <v>3</v>
      </c>
      <c r="AD29" s="24" t="s">
        <v>145</v>
      </c>
      <c r="AE29" s="25">
        <v>46</v>
      </c>
      <c r="AF29" s="25">
        <v>159</v>
      </c>
    </row>
    <row r="30" spans="1:32" ht="15">
      <c r="A30" s="30">
        <v>28</v>
      </c>
      <c r="B30" s="30">
        <v>57</v>
      </c>
      <c r="C30" s="30" t="str">
        <f>IF(ISBLANK(B30),"",VLOOKUP(B30,Entries!$A$4:$C$70,2,FALSE))</f>
        <v>L</v>
      </c>
      <c r="D30" s="31" t="str">
        <f>IF(ISBLANK(B30),"",VLOOKUP(B30,Entries!$A$4:$C$70,3,FALSE))</f>
        <v>Springfield Striders Ladies A</v>
      </c>
      <c r="E30" s="30">
        <f t="shared" si="0"/>
        <v>28</v>
      </c>
      <c r="F30" s="30">
        <f>IF(ISBLANK(B30),"",VLOOKUP(B30,Overall!$B$4:$AR$75,17,FALSE))</f>
        <v>136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35</v>
      </c>
      <c r="J30" s="31" t="s">
        <v>168</v>
      </c>
      <c r="K30" s="30">
        <v>170</v>
      </c>
      <c r="AA30" s="25">
        <v>11</v>
      </c>
      <c r="AB30" s="25">
        <v>35</v>
      </c>
      <c r="AC30" s="25" t="s">
        <v>3</v>
      </c>
      <c r="AD30" s="24" t="s">
        <v>168</v>
      </c>
      <c r="AE30" s="25">
        <v>11</v>
      </c>
      <c r="AF30" s="25">
        <v>170</v>
      </c>
    </row>
    <row r="31" spans="1:32" ht="15">
      <c r="A31" s="30">
        <v>29</v>
      </c>
      <c r="B31" s="30">
        <v>26</v>
      </c>
      <c r="C31" s="30" t="str">
        <f>IF(ISBLANK(B31),"",VLOOKUP(B31,Entries!$A$4:$C$70,2,FALSE))</f>
        <v>A</v>
      </c>
      <c r="D31" s="31" t="str">
        <f>IF(ISBLANK(B31),"",VLOOKUP(B31,Entries!$A$4:$C$70,3,FALSE))</f>
        <v>Harwich Runners Men</v>
      </c>
      <c r="E31" s="30">
        <f t="shared" si="0"/>
        <v>29</v>
      </c>
      <c r="F31" s="30">
        <f>IF(ISBLANK(B31),"",VLOOKUP(B31,Overall!$B$4:$AR$75,17,FALSE))</f>
        <v>91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8</v>
      </c>
      <c r="J31" s="31" t="s">
        <v>132</v>
      </c>
      <c r="K31" s="30">
        <v>175</v>
      </c>
      <c r="AA31" s="25">
        <v>37</v>
      </c>
      <c r="AB31" s="25">
        <v>8</v>
      </c>
      <c r="AC31" s="25" t="s">
        <v>3</v>
      </c>
      <c r="AD31" s="24" t="s">
        <v>132</v>
      </c>
      <c r="AE31" s="25">
        <v>37</v>
      </c>
      <c r="AF31" s="25">
        <v>175</v>
      </c>
    </row>
    <row r="32" spans="1:32" ht="15">
      <c r="A32" s="30">
        <v>30</v>
      </c>
      <c r="B32" s="30">
        <v>13</v>
      </c>
      <c r="C32" s="30" t="str">
        <f>IF(ISBLANK(B32),"",VLOOKUP(B32,Entries!$A$4:$C$70,2,FALSE))</f>
        <v>A</v>
      </c>
      <c r="D32" s="31" t="str">
        <f>IF(ISBLANK(B32),"",VLOOKUP(B32,Entries!$A$4:$C$70,3,FALSE))</f>
        <v>Mid Essex Casuals B</v>
      </c>
      <c r="E32" s="30">
        <f t="shared" si="0"/>
        <v>30</v>
      </c>
      <c r="F32" s="30">
        <f>IF(ISBLANK(B32),"",VLOOKUP(B32,Overall!$B$4:$AR$75,17,FALSE))</f>
        <v>79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3</v>
      </c>
      <c r="J32" s="31" t="s">
        <v>120</v>
      </c>
      <c r="K32" s="30">
        <v>177</v>
      </c>
      <c r="AA32" s="25">
        <v>23</v>
      </c>
      <c r="AB32" s="25">
        <v>3</v>
      </c>
      <c r="AC32" s="25" t="s">
        <v>3</v>
      </c>
      <c r="AD32" s="24" t="s">
        <v>120</v>
      </c>
      <c r="AE32" s="25">
        <v>23</v>
      </c>
      <c r="AF32" s="25">
        <v>177</v>
      </c>
    </row>
    <row r="33" spans="1:32" ht="15">
      <c r="A33" s="30">
        <v>31</v>
      </c>
      <c r="B33" s="30">
        <v>52</v>
      </c>
      <c r="C33" s="30" t="str">
        <f>IF(ISBLANK(B33),"",VLOOKUP(B33,Entries!$A$4:$C$70,2,FALSE))</f>
        <v>V</v>
      </c>
      <c r="D33" s="31" t="str">
        <f>IF(ISBLANK(B33),"",VLOOKUP(B33,Entries!$A$4:$C$70,3,FALSE))</f>
        <v>TGT Vets</v>
      </c>
      <c r="E33" s="30">
        <f aca="true" t="shared" si="1" ref="E33:E55">IF(ISBLANK(B33),"",A33)</f>
        <v>31</v>
      </c>
      <c r="F33" s="30">
        <f>IF(ISBLANK(B33),"",VLOOKUP(B33,Overall!$B$4:$AR$75,17,FALSE))</f>
        <v>159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29</v>
      </c>
      <c r="J33" s="31" t="s">
        <v>92</v>
      </c>
      <c r="K33" s="30">
        <v>182</v>
      </c>
      <c r="AA33" s="25">
        <v>51</v>
      </c>
      <c r="AB33" s="25">
        <v>29</v>
      </c>
      <c r="AC33" s="25" t="s">
        <v>3</v>
      </c>
      <c r="AD33" s="24" t="s">
        <v>92</v>
      </c>
      <c r="AE33" s="25">
        <v>51</v>
      </c>
      <c r="AF33" s="25">
        <v>182</v>
      </c>
    </row>
    <row r="34" spans="1:32" ht="15">
      <c r="A34" s="30">
        <v>32</v>
      </c>
      <c r="B34" s="30">
        <v>34</v>
      </c>
      <c r="C34" s="30" t="str">
        <f>IF(ISBLANK(B34),"",VLOOKUP(B34,Entries!$A$4:$C$70,2,FALSE))</f>
        <v>A</v>
      </c>
      <c r="D34" s="31" t="str">
        <f>IF(ISBLANK(B34),"",VLOOKUP(B34,Entries!$A$4:$C$70,3,FALSE))</f>
        <v>Grange Farm C</v>
      </c>
      <c r="E34" s="30">
        <f t="shared" si="1"/>
        <v>32</v>
      </c>
      <c r="F34" s="30">
        <f>IF(ISBLANK(B34),"",VLOOKUP(B34,Overall!$B$4:$AR$75,17,FALSE))</f>
        <v>117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38</v>
      </c>
      <c r="J34" s="31" t="s">
        <v>104</v>
      </c>
      <c r="K34" s="30">
        <v>182</v>
      </c>
      <c r="AA34" s="25">
        <v>100</v>
      </c>
      <c r="AB34" s="25">
        <v>38</v>
      </c>
      <c r="AC34" s="25" t="s">
        <v>3</v>
      </c>
      <c r="AD34" s="24" t="s">
        <v>104</v>
      </c>
      <c r="AE34" s="25">
        <v>100</v>
      </c>
      <c r="AF34" s="25">
        <v>182</v>
      </c>
    </row>
    <row r="35" spans="1:32" ht="15">
      <c r="A35" s="30">
        <v>33</v>
      </c>
      <c r="B35" s="30">
        <v>37</v>
      </c>
      <c r="C35" s="30" t="str">
        <f>IF(ISBLANK(B35),"",VLOOKUP(B35,Entries!$A$4:$C$70,2,FALSE))</f>
        <v>A</v>
      </c>
      <c r="D35" s="31" t="str">
        <f>IF(ISBLANK(B35),"",VLOOKUP(B35,Entries!$A$4:$C$70,3,FALSE))</f>
        <v>Springfield Striders Mixed B</v>
      </c>
      <c r="E35" s="30">
        <f t="shared" si="1"/>
        <v>33</v>
      </c>
      <c r="F35" s="30">
        <f>IF(ISBLANK(B35),"",VLOOKUP(B35,Overall!$B$4:$AR$75,17,FALSE))</f>
        <v>116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16</v>
      </c>
      <c r="J35" s="31" t="s">
        <v>143</v>
      </c>
      <c r="K35" s="30">
        <v>183</v>
      </c>
      <c r="AA35" s="25">
        <v>49</v>
      </c>
      <c r="AB35" s="25">
        <v>16</v>
      </c>
      <c r="AC35" s="25" t="s">
        <v>3</v>
      </c>
      <c r="AD35" s="24" t="s">
        <v>143</v>
      </c>
      <c r="AE35" s="25">
        <v>49</v>
      </c>
      <c r="AF35" s="25">
        <v>183</v>
      </c>
    </row>
    <row r="36" spans="1:32" ht="15">
      <c r="A36" s="30">
        <v>34</v>
      </c>
      <c r="B36" s="30">
        <v>14</v>
      </c>
      <c r="C36" s="30" t="str">
        <f>IF(ISBLANK(B36),"",VLOOKUP(B36,Entries!$A$4:$C$70,2,FALSE))</f>
        <v>A</v>
      </c>
      <c r="D36" s="31" t="str">
        <f>IF(ISBLANK(B36),"",VLOOKUP(B36,Entries!$A$4:$C$70,3,FALSE))</f>
        <v>Mid Essex Casuals C</v>
      </c>
      <c r="E36" s="30">
        <f t="shared" si="1"/>
        <v>34</v>
      </c>
      <c r="F36" s="30">
        <f>IF(ISBLANK(B36),"",VLOOKUP(B36,Overall!$B$4:$AR$75,17,FALSE))</f>
        <v>133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27</v>
      </c>
      <c r="J36" s="31" t="s">
        <v>97</v>
      </c>
      <c r="K36" s="30">
        <v>188</v>
      </c>
      <c r="AA36" s="25">
        <v>44</v>
      </c>
      <c r="AB36" s="25">
        <v>27</v>
      </c>
      <c r="AC36" s="25" t="s">
        <v>3</v>
      </c>
      <c r="AD36" s="24" t="s">
        <v>97</v>
      </c>
      <c r="AE36" s="25">
        <v>44</v>
      </c>
      <c r="AF36" s="25">
        <v>188</v>
      </c>
    </row>
    <row r="37" spans="1:32" ht="15">
      <c r="A37" s="30">
        <v>35</v>
      </c>
      <c r="B37" s="30">
        <v>12</v>
      </c>
      <c r="C37" s="30" t="str">
        <f>IF(ISBLANK(B37),"",VLOOKUP(B37,Entries!$A$4:$C$70,2,FALSE))</f>
        <v>V</v>
      </c>
      <c r="D37" s="31" t="str">
        <f>IF(ISBLANK(B37),"",VLOOKUP(B37,Entries!$A$4:$C$70,3,FALSE))</f>
        <v>Mid Essex Casuals A</v>
      </c>
      <c r="E37" s="30">
        <f t="shared" si="1"/>
        <v>35</v>
      </c>
      <c r="F37" s="30">
        <f>IF(ISBLANK(B37),"",VLOOKUP(B37,Overall!$B$4:$AR$75,17,FALSE))</f>
        <v>134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30</v>
      </c>
      <c r="J37" s="31" t="s">
        <v>100</v>
      </c>
      <c r="K37" s="30">
        <v>207</v>
      </c>
      <c r="AA37" s="25">
        <v>100</v>
      </c>
      <c r="AB37" s="25">
        <v>30</v>
      </c>
      <c r="AC37" s="25" t="s">
        <v>3</v>
      </c>
      <c r="AD37" s="24" t="s">
        <v>100</v>
      </c>
      <c r="AE37" s="25">
        <v>100</v>
      </c>
      <c r="AF37" s="25">
        <v>207</v>
      </c>
    </row>
    <row r="38" spans="1:32" ht="15">
      <c r="A38" s="30">
        <v>36</v>
      </c>
      <c r="B38" s="30">
        <v>70</v>
      </c>
      <c r="C38" s="30" t="str">
        <f>IF(ISBLANK(B38),"",VLOOKUP(B38,Entries!$A$4:$C$70,2,FALSE))</f>
        <v>L</v>
      </c>
      <c r="D38" s="31" t="str">
        <f>IF(ISBLANK(B38),"",VLOOKUP(B38,Entries!$A$4:$C$70,3,FALSE))</f>
        <v>Harwich Runners Ladies</v>
      </c>
      <c r="E38" s="30">
        <f t="shared" si="1"/>
        <v>36</v>
      </c>
      <c r="F38" s="30">
        <f>IF(ISBLANK(B38),"",VLOOKUP(B38,Overall!$B$4:$AR$75,17,FALSE))</f>
        <v>178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41</v>
      </c>
      <c r="J38" s="31" t="s">
        <v>176</v>
      </c>
      <c r="K38" s="30">
        <v>208</v>
      </c>
      <c r="AA38" s="25">
        <v>48</v>
      </c>
      <c r="AB38" s="25">
        <v>41</v>
      </c>
      <c r="AC38" s="25" t="s">
        <v>3</v>
      </c>
      <c r="AD38" s="24" t="s">
        <v>176</v>
      </c>
      <c r="AE38" s="25">
        <v>48</v>
      </c>
      <c r="AF38" s="25">
        <v>208</v>
      </c>
    </row>
    <row r="39" spans="1:32" ht="15">
      <c r="A39" s="30">
        <v>37</v>
      </c>
      <c r="B39" s="30">
        <v>8</v>
      </c>
      <c r="C39" s="30" t="str">
        <f>IF(ISBLANK(B39),"",VLOOKUP(B39,Entries!$A$4:$C$70,2,FALSE))</f>
        <v>A</v>
      </c>
      <c r="D39" s="31" t="str">
        <f>IF(ISBLANK(B39),"",VLOOKUP(B39,Entries!$A$4:$C$70,3,FALSE))</f>
        <v>East Essex Tri Men</v>
      </c>
      <c r="E39" s="30">
        <f t="shared" si="1"/>
        <v>37</v>
      </c>
      <c r="F39" s="30">
        <f>IF(ISBLANK(B39),"",VLOOKUP(B39,Overall!$B$4:$AR$75,17,FALSE))</f>
        <v>175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15</v>
      </c>
      <c r="J39" s="31" t="s">
        <v>142</v>
      </c>
      <c r="K39" s="30">
        <v>226</v>
      </c>
      <c r="AA39" s="25">
        <v>50</v>
      </c>
      <c r="AB39" s="25">
        <v>15</v>
      </c>
      <c r="AC39" s="25" t="s">
        <v>3</v>
      </c>
      <c r="AD39" s="24" t="s">
        <v>142</v>
      </c>
      <c r="AE39" s="25">
        <v>50</v>
      </c>
      <c r="AF39" s="25">
        <v>226</v>
      </c>
    </row>
    <row r="40" spans="1:32" ht="15">
      <c r="A40" s="30">
        <v>38</v>
      </c>
      <c r="B40" s="30">
        <v>61</v>
      </c>
      <c r="C40" s="30" t="str">
        <f>IF(ISBLANK(B40),"",VLOOKUP(B40,Entries!$A$4:$C$70,2,FALSE))</f>
        <v>L</v>
      </c>
      <c r="D40" s="31" t="str">
        <f>IF(ISBLANK(B40),"",VLOOKUP(B40,Entries!$A$4:$C$70,3,FALSE))</f>
        <v>East Essex Tri Women</v>
      </c>
      <c r="E40" s="30">
        <f t="shared" si="1"/>
        <v>38</v>
      </c>
      <c r="F40" s="30">
        <f>IF(ISBLANK(B40),"",VLOOKUP(B40,Overall!$B$4:$AR$75,17,FALSE))</f>
        <v>148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11</v>
      </c>
      <c r="J40" s="31" t="s">
        <v>65</v>
      </c>
      <c r="K40" s="30">
        <v>238</v>
      </c>
      <c r="AA40" s="25">
        <v>100</v>
      </c>
      <c r="AB40" s="25">
        <v>11</v>
      </c>
      <c r="AC40" s="25" t="s">
        <v>3</v>
      </c>
      <c r="AD40" s="24" t="s">
        <v>65</v>
      </c>
      <c r="AE40" s="25">
        <v>100</v>
      </c>
      <c r="AF40" s="25">
        <v>238</v>
      </c>
    </row>
    <row r="41" spans="1:32" ht="15">
      <c r="A41" s="30">
        <v>39</v>
      </c>
      <c r="B41" s="30">
        <v>19</v>
      </c>
      <c r="C41" s="30" t="str">
        <f>IF(ISBLANK(B41),"",VLOOKUP(B41,Entries!$A$4:$C$70,2,FALSE))</f>
        <v>A</v>
      </c>
      <c r="D41" s="31" t="str">
        <f>IF(ISBLANK(B41),"",VLOOKUP(B41,Entries!$A$4:$C$70,3,FALSE))</f>
        <v>Benfleet Men C</v>
      </c>
      <c r="E41" s="30">
        <f t="shared" si="1"/>
        <v>39</v>
      </c>
      <c r="F41" s="30">
        <f>IF(ISBLANK(B41),"",VLOOKUP(B41,Overall!$B$4:$AR$75,17,FALSE))</f>
        <v>103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39</v>
      </c>
      <c r="J41" s="31" t="s">
        <v>105</v>
      </c>
      <c r="K41" s="30">
        <v>271</v>
      </c>
      <c r="AA41" s="25">
        <v>100</v>
      </c>
      <c r="AB41" s="25">
        <v>39</v>
      </c>
      <c r="AC41" s="25" t="s">
        <v>3</v>
      </c>
      <c r="AD41" s="24" t="s">
        <v>105</v>
      </c>
      <c r="AE41" s="25">
        <v>100</v>
      </c>
      <c r="AF41" s="25">
        <v>271</v>
      </c>
    </row>
    <row r="42" spans="1:32" ht="15">
      <c r="A42" s="30">
        <v>40</v>
      </c>
      <c r="B42" s="30">
        <v>68</v>
      </c>
      <c r="C42" s="30" t="str">
        <f>IF(ISBLANK(B42),"",VLOOKUP(B42,Entries!$A$4:$C$70,2,FALSE))</f>
        <v>L</v>
      </c>
      <c r="D42" s="31" t="str">
        <f>IF(ISBLANK(B42),"",VLOOKUP(B42,Entries!$A$4:$C$70,3,FALSE))</f>
        <v>Pitsea RC Ladies</v>
      </c>
      <c r="E42" s="30">
        <f t="shared" si="1"/>
        <v>40</v>
      </c>
      <c r="F42" s="30">
        <f>IF(ISBLANK(B42),"",VLOOKUP(B42,Overall!$B$4:$AR$75,17,FALSE))</f>
        <v>190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4</v>
      </c>
      <c r="J42" s="45" t="s">
        <v>123</v>
      </c>
      <c r="K42" s="44">
        <v>284</v>
      </c>
      <c r="AA42" s="25">
        <v>100</v>
      </c>
      <c r="AB42" s="25">
        <v>4</v>
      </c>
      <c r="AC42" s="25" t="s">
        <v>3</v>
      </c>
      <c r="AD42" s="24" t="s">
        <v>123</v>
      </c>
      <c r="AE42" s="25">
        <v>100</v>
      </c>
      <c r="AF42" s="25">
        <v>284</v>
      </c>
    </row>
    <row r="43" spans="1:32" ht="15">
      <c r="A43" s="30">
        <v>41</v>
      </c>
      <c r="B43" s="30">
        <v>40</v>
      </c>
      <c r="C43" s="30" t="str">
        <f>IF(ISBLANK(B43),"",VLOOKUP(B43,Entries!$A$4:$C$70,2,FALSE))</f>
        <v>A</v>
      </c>
      <c r="D43" s="31" t="str">
        <f>IF(ISBLANK(B43),"",VLOOKUP(B43,Entries!$A$4:$C$70,3,FALSE))</f>
        <v>Pitsea RC Men </v>
      </c>
      <c r="E43" s="30">
        <f t="shared" si="1"/>
        <v>41</v>
      </c>
      <c r="F43" s="30">
        <f>IF(ISBLANK(B43),"",VLOOKUP(B43,Overall!$B$4:$AR$75,17,FALSE))</f>
        <v>150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16</v>
      </c>
      <c r="AB43" s="25">
        <v>64</v>
      </c>
      <c r="AC43" s="25" t="s">
        <v>0</v>
      </c>
      <c r="AD43" s="24" t="s">
        <v>191</v>
      </c>
      <c r="AE43" s="25">
        <v>16</v>
      </c>
      <c r="AF43" s="25">
        <v>57</v>
      </c>
    </row>
    <row r="44" spans="1:32" ht="15">
      <c r="A44" s="30">
        <v>42</v>
      </c>
      <c r="B44" s="30">
        <v>69</v>
      </c>
      <c r="C44" s="30" t="str">
        <f>IF(ISBLANK(B44),"",VLOOKUP(B44,Entries!$A$4:$C$70,2,FALSE))</f>
        <v>L</v>
      </c>
      <c r="D44" s="31" t="str">
        <f>IF(ISBLANK(B44),"",VLOOKUP(B44,Entries!$A$4:$C$70,3,FALSE))</f>
        <v>Southend Ladies</v>
      </c>
      <c r="E44" s="30">
        <f t="shared" si="1"/>
        <v>42</v>
      </c>
      <c r="F44" s="30">
        <f>IF(ISBLANK(B44),"",VLOOKUP(B44,Overall!$B$4:$AR$75,17,FALSE))</f>
        <v>117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26</v>
      </c>
      <c r="AB44" s="25">
        <v>59</v>
      </c>
      <c r="AC44" s="25" t="s">
        <v>0</v>
      </c>
      <c r="AD44" s="24" t="s">
        <v>183</v>
      </c>
      <c r="AE44" s="25">
        <v>26</v>
      </c>
      <c r="AF44" s="25">
        <v>111</v>
      </c>
    </row>
    <row r="45" spans="1:32" ht="15">
      <c r="A45" s="30">
        <v>43</v>
      </c>
      <c r="B45" s="30">
        <v>6</v>
      </c>
      <c r="C45" s="30" t="str">
        <f>IF(ISBLANK(B45),"",VLOOKUP(B45,Entries!$A$4:$C$70,2,FALSE))</f>
        <v>A</v>
      </c>
      <c r="D45" s="31" t="str">
        <f>IF(ISBLANK(B45),"",VLOOKUP(B45,Entries!$A$4:$C$70,3,FALSE))</f>
        <v>Thurrock Nomads B - The Z list</v>
      </c>
      <c r="E45" s="30">
        <f t="shared" si="1"/>
        <v>43</v>
      </c>
      <c r="F45" s="30">
        <f>IF(ISBLANK(B45),"",VLOOKUP(B45,Overall!$B$4:$AR$75,17,FALSE))</f>
        <v>153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57</v>
      </c>
      <c r="AA45" s="25">
        <v>24</v>
      </c>
      <c r="AB45" s="25">
        <v>66</v>
      </c>
      <c r="AC45" s="25" t="s">
        <v>0</v>
      </c>
      <c r="AD45" s="24" t="s">
        <v>193</v>
      </c>
      <c r="AE45" s="25">
        <v>24</v>
      </c>
      <c r="AF45" s="25">
        <v>116</v>
      </c>
    </row>
    <row r="46" spans="1:32" ht="15">
      <c r="A46" s="30">
        <v>44</v>
      </c>
      <c r="B46" s="30">
        <v>27</v>
      </c>
      <c r="C46" s="30" t="str">
        <f>IF(ISBLANK(B46),"",VLOOKUP(B46,Entries!$A$4:$C$70,2,FALSE))</f>
        <v>A</v>
      </c>
      <c r="D46" s="31" t="str">
        <f>IF(ISBLANK(B46),"",VLOOKUP(B46,Entries!$A$4:$C$70,3,FALSE))</f>
        <v>Harwich Runners Mixed</v>
      </c>
      <c r="E46" s="30">
        <f t="shared" si="1"/>
        <v>44</v>
      </c>
      <c r="F46" s="30">
        <f>IF(ISBLANK(B46),"",VLOOKUP(B46,Overall!$B$4:$AR$75,17,FALSE))</f>
        <v>188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59</v>
      </c>
      <c r="J46" s="31" t="s">
        <v>183</v>
      </c>
      <c r="K46" s="30">
        <v>111</v>
      </c>
      <c r="AA46" s="25">
        <v>42</v>
      </c>
      <c r="AB46" s="25">
        <v>69</v>
      </c>
      <c r="AC46" s="25" t="s">
        <v>0</v>
      </c>
      <c r="AD46" s="24" t="s">
        <v>198</v>
      </c>
      <c r="AE46" s="25">
        <v>42</v>
      </c>
      <c r="AF46" s="25">
        <v>117</v>
      </c>
    </row>
    <row r="47" spans="1:32" ht="15">
      <c r="A47" s="30">
        <v>45</v>
      </c>
      <c r="B47" s="30">
        <v>60</v>
      </c>
      <c r="C47" s="30" t="str">
        <f>IF(ISBLANK(B47),"",VLOOKUP(B47,Entries!$A$4:$C$70,2,FALSE))</f>
        <v>L</v>
      </c>
      <c r="D47" s="31" t="str">
        <f>IF(ISBLANK(B47),"",VLOOKUP(B47,Entries!$A$4:$C$70,3,FALSE))</f>
        <v>Tiptree Ladies</v>
      </c>
      <c r="E47" s="30">
        <f t="shared" si="1"/>
        <v>45</v>
      </c>
      <c r="F47" s="30">
        <f>IF(ISBLANK(B47),"",VLOOKUP(B47,Overall!$B$4:$AR$75,17,FALSE))</f>
        <v>178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66</v>
      </c>
      <c r="J47" s="31" t="s">
        <v>193</v>
      </c>
      <c r="K47" s="30">
        <v>116</v>
      </c>
      <c r="AA47" s="25">
        <v>22</v>
      </c>
      <c r="AB47" s="25">
        <v>62</v>
      </c>
      <c r="AC47" s="25" t="s">
        <v>0</v>
      </c>
      <c r="AD47" s="24" t="s">
        <v>188</v>
      </c>
      <c r="AE47" s="25">
        <v>22</v>
      </c>
      <c r="AF47" s="25">
        <v>124</v>
      </c>
    </row>
    <row r="48" spans="1:32" ht="15">
      <c r="A48" s="30">
        <v>46</v>
      </c>
      <c r="B48" s="30">
        <v>20</v>
      </c>
      <c r="C48" s="30" t="str">
        <f>IF(ISBLANK(B48),"",VLOOKUP(B48,Entries!$A$4:$C$70,2,FALSE))</f>
        <v>A</v>
      </c>
      <c r="D48" s="31" t="str">
        <f>IF(ISBLANK(B48),"",VLOOKUP(B48,Entries!$A$4:$C$70,3,FALSE))</f>
        <v>BSRC</v>
      </c>
      <c r="E48" s="30">
        <f t="shared" si="1"/>
        <v>46</v>
      </c>
      <c r="F48" s="30">
        <f>IF(ISBLANK(B48),"",VLOOKUP(B48,Overall!$B$4:$AR$75,17,FALSE))</f>
        <v>159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69</v>
      </c>
      <c r="J48" s="31" t="s">
        <v>198</v>
      </c>
      <c r="K48" s="30">
        <v>117</v>
      </c>
      <c r="AA48" s="25">
        <v>28</v>
      </c>
      <c r="AB48" s="25">
        <v>57</v>
      </c>
      <c r="AC48" s="25" t="s">
        <v>0</v>
      </c>
      <c r="AD48" s="24" t="s">
        <v>181</v>
      </c>
      <c r="AE48" s="25">
        <v>28</v>
      </c>
      <c r="AF48" s="25">
        <v>136</v>
      </c>
    </row>
    <row r="49" spans="1:32" ht="15">
      <c r="A49" s="30">
        <v>47</v>
      </c>
      <c r="B49" s="30">
        <v>65</v>
      </c>
      <c r="C49" s="30" t="str">
        <f>IF(ISBLANK(B49),"",VLOOKUP(B49,Entries!$A$4:$C$70,2,FALSE))</f>
        <v>L</v>
      </c>
      <c r="D49" s="31" t="str">
        <f>IF(ISBLANK(B49),"",VLOOKUP(B49,Entries!$A$4:$C$70,3,FALSE))</f>
        <v>Benfleet Ladies B</v>
      </c>
      <c r="E49" s="30">
        <f t="shared" si="1"/>
        <v>47</v>
      </c>
      <c r="F49" s="30">
        <f>IF(ISBLANK(B49),"",VLOOKUP(B49,Overall!$B$4:$AR$75,17,FALSE))</f>
        <v>152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62</v>
      </c>
      <c r="J49" s="31" t="s">
        <v>188</v>
      </c>
      <c r="K49" s="30">
        <v>124</v>
      </c>
      <c r="AA49" s="25">
        <v>38</v>
      </c>
      <c r="AB49" s="25">
        <v>61</v>
      </c>
      <c r="AC49" s="25" t="s">
        <v>0</v>
      </c>
      <c r="AD49" s="24" t="s">
        <v>187</v>
      </c>
      <c r="AE49" s="25">
        <v>38</v>
      </c>
      <c r="AF49" s="25">
        <v>148</v>
      </c>
    </row>
    <row r="50" spans="1:32" ht="15">
      <c r="A50" s="30">
        <v>48</v>
      </c>
      <c r="B50" s="30">
        <v>41</v>
      </c>
      <c r="C50" s="30" t="str">
        <f>IF(ISBLANK(B50),"",VLOOKUP(B50,Entries!$A$4:$C$70,2,FALSE))</f>
        <v>A</v>
      </c>
      <c r="D50" s="31" t="str">
        <f>IF(ISBLANK(B50),"",VLOOKUP(B50,Entries!$A$4:$C$70,3,FALSE))</f>
        <v>Pitsea RC Mixed</v>
      </c>
      <c r="E50" s="30">
        <f t="shared" si="1"/>
        <v>48</v>
      </c>
      <c r="F50" s="30">
        <f>IF(ISBLANK(B50),"",VLOOKUP(B50,Overall!$B$4:$AR$75,17,FALSE))</f>
        <v>208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57</v>
      </c>
      <c r="J50" s="31" t="s">
        <v>181</v>
      </c>
      <c r="K50" s="30">
        <v>136</v>
      </c>
      <c r="AA50" s="25">
        <v>47</v>
      </c>
      <c r="AB50" s="25">
        <v>65</v>
      </c>
      <c r="AC50" s="25" t="s">
        <v>0</v>
      </c>
      <c r="AD50" s="24" t="s">
        <v>192</v>
      </c>
      <c r="AE50" s="25">
        <v>47</v>
      </c>
      <c r="AF50" s="25">
        <v>152</v>
      </c>
    </row>
    <row r="51" spans="1:32" ht="15">
      <c r="A51" s="30">
        <v>49</v>
      </c>
      <c r="B51" s="30">
        <v>16</v>
      </c>
      <c r="C51" s="30" t="str">
        <f>IF(ISBLANK(B51),"",VLOOKUP(B51,Entries!$A$4:$C$70,2,FALSE))</f>
        <v>A</v>
      </c>
      <c r="D51" s="31" t="str">
        <f>IF(ISBLANK(B51),"",VLOOKUP(B51,Entries!$A$4:$C$70,3,FALSE))</f>
        <v>Havering 90 B</v>
      </c>
      <c r="E51" s="30">
        <f t="shared" si="1"/>
        <v>49</v>
      </c>
      <c r="F51" s="30">
        <f>IF(ISBLANK(B51),"",VLOOKUP(B51,Overall!$B$4:$AR$75,17,FALSE))</f>
        <v>183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61</v>
      </c>
      <c r="J51" s="31" t="s">
        <v>187</v>
      </c>
      <c r="K51" s="30">
        <v>148</v>
      </c>
      <c r="AA51" s="25">
        <v>18</v>
      </c>
      <c r="AB51" s="25">
        <v>58</v>
      </c>
      <c r="AC51" s="25" t="s">
        <v>0</v>
      </c>
      <c r="AD51" s="24" t="s">
        <v>182</v>
      </c>
      <c r="AE51" s="25">
        <v>18</v>
      </c>
      <c r="AF51" s="25">
        <v>154</v>
      </c>
    </row>
    <row r="52" spans="1:32" ht="15">
      <c r="A52" s="30">
        <v>50</v>
      </c>
      <c r="B52" s="30">
        <v>15</v>
      </c>
      <c r="C52" s="30" t="str">
        <f>IF(ISBLANK(B52),"",VLOOKUP(B52,Entries!$A$4:$C$70,2,FALSE))</f>
        <v>A</v>
      </c>
      <c r="D52" s="31" t="str">
        <f>IF(ISBLANK(B52),"",VLOOKUP(B52,Entries!$A$4:$C$70,3,FALSE))</f>
        <v>Havering 90 A</v>
      </c>
      <c r="E52" s="30">
        <f t="shared" si="1"/>
        <v>50</v>
      </c>
      <c r="F52" s="30">
        <f>IF(ISBLANK(B52),"",VLOOKUP(B52,Overall!$B$4:$AR$75,17,FALSE))</f>
        <v>226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65</v>
      </c>
      <c r="J52" s="31" t="s">
        <v>192</v>
      </c>
      <c r="K52" s="30">
        <v>152</v>
      </c>
      <c r="AA52" s="25">
        <v>36</v>
      </c>
      <c r="AB52" s="25">
        <v>70</v>
      </c>
      <c r="AC52" s="25" t="s">
        <v>0</v>
      </c>
      <c r="AD52" s="24" t="s">
        <v>199</v>
      </c>
      <c r="AE52" s="25">
        <v>36</v>
      </c>
      <c r="AF52" s="25">
        <v>178</v>
      </c>
    </row>
    <row r="53" spans="1:32" ht="15">
      <c r="A53" s="30">
        <v>51</v>
      </c>
      <c r="B53" s="30">
        <v>29</v>
      </c>
      <c r="C53" s="30" t="str">
        <f>IF(ISBLANK(B53),"",VLOOKUP(B53,Entries!$A$4:$C$70,2,FALSE))</f>
        <v>A</v>
      </c>
      <c r="D53" s="31" t="str">
        <f>IF(ISBLANK(B53),"",VLOOKUP(B53,Entries!$A$4:$C$70,3,FALSE))</f>
        <v>Ilford B</v>
      </c>
      <c r="E53" s="30">
        <f t="shared" si="1"/>
        <v>51</v>
      </c>
      <c r="F53" s="30">
        <f>IF(ISBLANK(B53),"",VLOOKUP(B53,Overall!$B$4:$AR$75,17,FALSE))</f>
        <v>182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58</v>
      </c>
      <c r="J53" s="31" t="s">
        <v>182</v>
      </c>
      <c r="K53" s="30">
        <v>154</v>
      </c>
      <c r="AA53" s="25">
        <v>45</v>
      </c>
      <c r="AB53" s="25">
        <v>60</v>
      </c>
      <c r="AC53" s="25" t="s">
        <v>0</v>
      </c>
      <c r="AD53" s="24" t="s">
        <v>184</v>
      </c>
      <c r="AE53" s="25">
        <v>45</v>
      </c>
      <c r="AF53" s="25">
        <v>178</v>
      </c>
    </row>
    <row r="54" spans="1:32" ht="15">
      <c r="A54" s="30">
        <v>52</v>
      </c>
      <c r="B54" s="30">
        <v>51</v>
      </c>
      <c r="C54" s="30" t="str">
        <f>IF(ISBLANK(B54),"",VLOOKUP(B54,Entries!$A$4:$C$70,2,FALSE))</f>
        <v>V</v>
      </c>
      <c r="D54" s="31" t="str">
        <f>IF(ISBLANK(B54),"",VLOOKUP(B54,Entries!$A$4:$C$70,3,FALSE))</f>
        <v>Ilford Vets</v>
      </c>
      <c r="E54" s="30">
        <f t="shared" si="1"/>
        <v>52</v>
      </c>
      <c r="F54" s="30">
        <f>IF(ISBLANK(B54),"",VLOOKUP(B54,Overall!$B$4:$AR$75,17,FALSE))</f>
        <v>140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70</v>
      </c>
      <c r="J54" s="31" t="s">
        <v>199</v>
      </c>
      <c r="K54" s="30">
        <v>178</v>
      </c>
      <c r="AA54" s="25">
        <v>40</v>
      </c>
      <c r="AB54" s="25">
        <v>68</v>
      </c>
      <c r="AC54" s="25" t="s">
        <v>0</v>
      </c>
      <c r="AD54" s="24" t="s">
        <v>197</v>
      </c>
      <c r="AE54" s="25">
        <v>40</v>
      </c>
      <c r="AF54" s="25">
        <v>190</v>
      </c>
    </row>
    <row r="55" spans="1:32" ht="15">
      <c r="A55" s="30">
        <v>100</v>
      </c>
      <c r="B55" s="30">
        <v>38</v>
      </c>
      <c r="C55" s="44" t="str">
        <f>IF(ISBLANK(B55),"",VLOOKUP(B55,Entries!$A$4:$C$70,2,FALSE))</f>
        <v>A</v>
      </c>
      <c r="D55" s="45" t="str">
        <f>IF(ISBLANK(B55),"",VLOOKUP(B55,Entries!$A$4:$C$70,3,FALSE))</f>
        <v>Springfield Striders Mixed C</v>
      </c>
      <c r="E55" s="44">
        <f t="shared" si="1"/>
        <v>100</v>
      </c>
      <c r="F55" s="44">
        <f>IF(ISBLANK(B55),"",VLOOKUP(B55,Overall!$B$4:$AR$75,17,FALSE))</f>
        <v>182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60</v>
      </c>
      <c r="J55" s="31" t="s">
        <v>184</v>
      </c>
      <c r="K55" s="30">
        <v>178</v>
      </c>
      <c r="AA55" s="25">
        <v>100</v>
      </c>
      <c r="AB55" s="25">
        <v>67</v>
      </c>
      <c r="AC55" s="25" t="s">
        <v>0</v>
      </c>
      <c r="AD55" s="24" t="s">
        <v>196</v>
      </c>
      <c r="AE55" s="25">
        <v>100</v>
      </c>
      <c r="AF55" s="25">
        <v>238</v>
      </c>
    </row>
    <row r="56" spans="1:32" ht="15">
      <c r="A56" s="30">
        <v>100</v>
      </c>
      <c r="B56" s="30">
        <v>4</v>
      </c>
      <c r="C56" s="44" t="str">
        <f>IF(ISBLANK(B56),"",VLOOKUP(B56,Entries!$A$4:$C$70,2,FALSE))</f>
        <v>A</v>
      </c>
      <c r="D56" s="45" t="str">
        <f>IF(ISBLANK(B56),"",VLOOKUP(B56,Entries!$A$4:$C$70,3,FALSE))</f>
        <v>Tiptree B</v>
      </c>
      <c r="E56" s="44">
        <f aca="true" t="shared" si="2" ref="E56:E61">IF(ISBLANK(B56),"",A56)</f>
        <v>100</v>
      </c>
      <c r="F56" s="44">
        <f>IF(ISBLANK(B56),"",VLOOKUP(B56,Overall!$B$4:$AR$75,17,FALSE))</f>
        <v>284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68</v>
      </c>
      <c r="J56" s="31" t="s">
        <v>197</v>
      </c>
      <c r="K56" s="30">
        <v>190</v>
      </c>
      <c r="AA56" s="25">
        <v>100</v>
      </c>
      <c r="AB56" s="25">
        <v>63</v>
      </c>
      <c r="AC56" s="25" t="s">
        <v>0</v>
      </c>
      <c r="AD56" s="24" t="s">
        <v>65</v>
      </c>
      <c r="AE56" s="25">
        <v>100</v>
      </c>
      <c r="AF56" s="25">
        <v>244</v>
      </c>
    </row>
    <row r="57" spans="1:32" ht="15">
      <c r="A57" s="30">
        <v>100</v>
      </c>
      <c r="B57" s="30">
        <v>30</v>
      </c>
      <c r="C57" s="44" t="str">
        <f>IF(ISBLANK(B57),"",VLOOKUP(B57,Entries!$A$4:$C$70,2,FALSE))</f>
        <v>A</v>
      </c>
      <c r="D57" s="45" t="str">
        <f>IF(ISBLANK(B57),"",VLOOKUP(B57,Entries!$A$4:$C$70,3,FALSE))</f>
        <v>Witham Running Club</v>
      </c>
      <c r="E57" s="44">
        <f t="shared" si="2"/>
        <v>100</v>
      </c>
      <c r="F57" s="44">
        <f>IF(ISBLANK(B57),"",VLOOKUP(B57,Overall!$B$4:$AR$75,17,FALSE))</f>
        <v>207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67</v>
      </c>
      <c r="J57" s="31" t="s">
        <v>196</v>
      </c>
      <c r="K57" s="30">
        <v>238</v>
      </c>
      <c r="AA57" s="25">
        <v>17</v>
      </c>
      <c r="AB57" s="25">
        <v>50</v>
      </c>
      <c r="AC57" s="25" t="s">
        <v>2</v>
      </c>
      <c r="AD57" s="24" t="s">
        <v>44</v>
      </c>
      <c r="AE57" s="25">
        <v>17</v>
      </c>
      <c r="AF57" s="25">
        <v>66</v>
      </c>
    </row>
    <row r="58" spans="1:32" ht="15">
      <c r="A58" s="30">
        <v>100</v>
      </c>
      <c r="B58" s="30">
        <v>11</v>
      </c>
      <c r="C58" s="44" t="str">
        <f>IF(ISBLANK(B58),"",VLOOKUP(B58,Entries!$A$4:$C$70,2,FALSE))</f>
        <v>A</v>
      </c>
      <c r="D58" s="45" t="str">
        <f>IF(ISBLANK(B58),"",VLOOKUP(B58,Entries!$A$4:$C$70,3,FALSE))</f>
        <v>Billericay Striders</v>
      </c>
      <c r="E58" s="44">
        <f t="shared" si="2"/>
        <v>100</v>
      </c>
      <c r="F58" s="44">
        <f>IF(ISBLANK(B58),"",VLOOKUP(B58,Overall!$B$4:$AR$75,17,FALSE))</f>
        <v>238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63</v>
      </c>
      <c r="J58" s="45" t="s">
        <v>65</v>
      </c>
      <c r="K58" s="44">
        <v>244</v>
      </c>
      <c r="AA58" s="25">
        <v>25</v>
      </c>
      <c r="AB58" s="25">
        <v>53</v>
      </c>
      <c r="AC58" s="25" t="s">
        <v>2</v>
      </c>
      <c r="AD58" s="24" t="s">
        <v>87</v>
      </c>
      <c r="AE58" s="25">
        <v>25</v>
      </c>
      <c r="AF58" s="25">
        <v>72</v>
      </c>
    </row>
    <row r="59" spans="1:32" ht="15">
      <c r="A59" s="30">
        <v>100</v>
      </c>
      <c r="B59" s="30">
        <v>63</v>
      </c>
      <c r="C59" s="44" t="str">
        <f>IF(ISBLANK(B59),"",VLOOKUP(B59,Entries!$A$4:$C$70,2,FALSE))</f>
        <v>L</v>
      </c>
      <c r="D59" s="45" t="str">
        <f>IF(ISBLANK(B59),"",VLOOKUP(B59,Entries!$A$4:$C$70,3,FALSE))</f>
        <v>Billericay Striders</v>
      </c>
      <c r="E59" s="44">
        <f t="shared" si="2"/>
        <v>100</v>
      </c>
      <c r="F59" s="44">
        <f>IF(ISBLANK(B59),"",VLOOKUP(B59,Overall!$B$4:$AR$75,17,FALSE))</f>
        <v>244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35</v>
      </c>
      <c r="AB59" s="25">
        <v>12</v>
      </c>
      <c r="AC59" s="25" t="s">
        <v>2</v>
      </c>
      <c r="AD59" s="24" t="s">
        <v>84</v>
      </c>
      <c r="AE59" s="25">
        <v>35</v>
      </c>
      <c r="AF59" s="25">
        <v>134</v>
      </c>
    </row>
    <row r="60" spans="1:32" ht="15">
      <c r="A60" s="30">
        <v>100</v>
      </c>
      <c r="B60" s="30">
        <v>67</v>
      </c>
      <c r="C60" s="44" t="str">
        <f>IF(ISBLANK(B60),"",VLOOKUP(B60,Entries!$A$4:$C$70,2,FALSE))</f>
        <v>L</v>
      </c>
      <c r="D60" s="45" t="str">
        <f>IF(ISBLANK(B60),"",VLOOKUP(B60,Entries!$A$4:$C$70,3,FALSE))</f>
        <v>TGT Ladies B</v>
      </c>
      <c r="E60" s="44">
        <f t="shared" si="2"/>
        <v>100</v>
      </c>
      <c r="F60" s="44">
        <f>IF(ISBLANK(B60),"",VLOOKUP(B60,Overall!$B$4:$AR$75,17,FALSE))</f>
        <v>238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8"/>
      <c r="J60" s="47"/>
      <c r="K60" s="48" t="s">
        <v>73</v>
      </c>
      <c r="AA60" s="25">
        <v>52</v>
      </c>
      <c r="AB60" s="25">
        <v>51</v>
      </c>
      <c r="AC60" s="25" t="s">
        <v>2</v>
      </c>
      <c r="AD60" s="24" t="s">
        <v>178</v>
      </c>
      <c r="AE60" s="25">
        <v>52</v>
      </c>
      <c r="AF60" s="25">
        <v>140</v>
      </c>
    </row>
    <row r="61" spans="1:32" ht="15">
      <c r="A61" s="30">
        <v>100</v>
      </c>
      <c r="B61" s="30">
        <v>39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D</v>
      </c>
      <c r="E61" s="30">
        <f t="shared" si="2"/>
        <v>100</v>
      </c>
      <c r="F61" s="30">
        <f>IF(ISBLANK(B61),"",VLOOKUP(B61,Overall!$B$4:$AR$75,17,FALSE))</f>
        <v>271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66</v>
      </c>
      <c r="AA61" s="25">
        <v>31</v>
      </c>
      <c r="AB61" s="25">
        <v>52</v>
      </c>
      <c r="AC61" s="25" t="s">
        <v>2</v>
      </c>
      <c r="AD61" s="24" t="s">
        <v>179</v>
      </c>
      <c r="AE61" s="25">
        <v>31</v>
      </c>
      <c r="AF61" s="25">
        <v>159</v>
      </c>
    </row>
    <row r="62" spans="8:11" ht="15">
      <c r="H62" s="30">
        <v>2</v>
      </c>
      <c r="I62" s="30">
        <v>53</v>
      </c>
      <c r="J62" s="31" t="s">
        <v>87</v>
      </c>
      <c r="K62" s="30">
        <v>72</v>
      </c>
    </row>
    <row r="63" spans="8:11" ht="15">
      <c r="H63" s="30">
        <v>3</v>
      </c>
      <c r="I63" s="30">
        <v>12</v>
      </c>
      <c r="J63" s="31" t="s">
        <v>84</v>
      </c>
      <c r="K63" s="30">
        <v>134</v>
      </c>
    </row>
    <row r="64" spans="8:11" ht="15">
      <c r="H64" s="30">
        <v>4</v>
      </c>
      <c r="I64" s="30">
        <v>51</v>
      </c>
      <c r="J64" s="31" t="s">
        <v>178</v>
      </c>
      <c r="K64" s="30">
        <v>140</v>
      </c>
    </row>
    <row r="65" spans="8:11" ht="15">
      <c r="H65" s="30">
        <v>5</v>
      </c>
      <c r="I65" s="30">
        <v>52</v>
      </c>
      <c r="J65" s="31" t="s">
        <v>179</v>
      </c>
      <c r="K65" s="30">
        <v>159</v>
      </c>
    </row>
    <row r="66" spans="8:11" ht="15">
      <c r="H66" s="36"/>
      <c r="I66" s="36"/>
      <c r="J66" s="35"/>
      <c r="K66" s="36"/>
    </row>
    <row r="67" spans="8:11" ht="15">
      <c r="H67" s="36"/>
      <c r="I67" s="36"/>
      <c r="J67" s="35"/>
      <c r="K67" s="36"/>
    </row>
    <row r="68" spans="8:11" ht="15">
      <c r="H68" s="36"/>
      <c r="I68" s="36"/>
      <c r="J68" s="35"/>
      <c r="K68" s="36"/>
    </row>
    <row r="69" spans="8:11" ht="15">
      <c r="H69" s="36"/>
      <c r="I69" s="36"/>
      <c r="J69" s="35"/>
      <c r="K69" s="36"/>
    </row>
    <row r="70" spans="8:11" ht="15">
      <c r="H70" s="36"/>
      <c r="I70" s="36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9" width="6.140625" style="25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5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8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28</v>
      </c>
      <c r="C3" s="30" t="str">
        <f>IF(ISBLANK(B3),"",VLOOKUP(B3,Entries!$A$4:$C$70,2,FALSE))</f>
        <v>A</v>
      </c>
      <c r="D3" s="31" t="str">
        <f>IF(ISBLANK(B3),"",VLOOKUP(B3,Entries!$A$4:$C$70,3,FALSE))</f>
        <v>Ilford A</v>
      </c>
      <c r="E3" s="30">
        <f aca="true" t="shared" si="0" ref="E3:E32">IF(ISBLANK(B3),"",A3)</f>
        <v>1</v>
      </c>
      <c r="F3" s="30">
        <f>IF(ISBLANK(B3),"",VLOOKUP(B3,Overall!$B$4:$AR$75,21,FALSE))</f>
        <v>25</v>
      </c>
      <c r="H3" s="30">
        <v>1</v>
      </c>
      <c r="I3" s="30">
        <v>23</v>
      </c>
      <c r="J3" s="31" t="s">
        <v>81</v>
      </c>
      <c r="K3" s="30">
        <v>12</v>
      </c>
      <c r="AA3" s="25">
        <v>4</v>
      </c>
      <c r="AB3" s="25">
        <v>23</v>
      </c>
      <c r="AC3" s="25" t="s">
        <v>3</v>
      </c>
      <c r="AD3" s="24" t="s">
        <v>81</v>
      </c>
      <c r="AE3" s="25">
        <v>4</v>
      </c>
      <c r="AF3" s="25">
        <v>12</v>
      </c>
    </row>
    <row r="4" spans="1:32" ht="15">
      <c r="A4" s="30">
        <v>2</v>
      </c>
      <c r="B4" s="30">
        <v>26</v>
      </c>
      <c r="C4" s="30" t="str">
        <f>IF(ISBLANK(B4),"",VLOOKUP(B4,Entries!$A$4:$C$70,2,FALSE))</f>
        <v>A</v>
      </c>
      <c r="D4" s="31" t="str">
        <f>IF(ISBLANK(B4),"",VLOOKUP(B4,Entries!$A$4:$C$70,3,FALSE))</f>
        <v>Harwich Runners Men</v>
      </c>
      <c r="E4" s="30">
        <f t="shared" si="0"/>
        <v>2</v>
      </c>
      <c r="F4" s="30">
        <f>IF(ISBLANK(B4),"",VLOOKUP(B4,Overall!$B$4:$AR$75,21,FALSE))</f>
        <v>93</v>
      </c>
      <c r="G4" s="25">
        <f>IF(ISBLANK($B3),"",IF($B4=$B3,"*",""))</f>
      </c>
      <c r="H4" s="30">
        <v>2</v>
      </c>
      <c r="I4" s="30">
        <v>17</v>
      </c>
      <c r="J4" s="31" t="s">
        <v>107</v>
      </c>
      <c r="K4" s="30">
        <v>23</v>
      </c>
      <c r="AA4" s="25">
        <v>5</v>
      </c>
      <c r="AB4" s="25">
        <v>17</v>
      </c>
      <c r="AC4" s="25" t="s">
        <v>3</v>
      </c>
      <c r="AD4" s="24" t="s">
        <v>107</v>
      </c>
      <c r="AE4" s="25">
        <v>5</v>
      </c>
      <c r="AF4" s="25">
        <v>23</v>
      </c>
    </row>
    <row r="5" spans="1:32" ht="15">
      <c r="A5" s="30">
        <v>3</v>
      </c>
      <c r="B5" s="30">
        <v>24</v>
      </c>
      <c r="C5" s="30" t="str">
        <f>IF(ISBLANK(B5),"",VLOOKUP(B5,Entries!$A$4:$C$70,2,FALSE))</f>
        <v>A</v>
      </c>
      <c r="D5" s="31" t="str">
        <f>IF(ISBLANK(B5),"",VLOOKUP(B5,Entries!$A$4:$C$70,3,FALSE))</f>
        <v>Southend Men A</v>
      </c>
      <c r="E5" s="30">
        <f t="shared" si="0"/>
        <v>3</v>
      </c>
      <c r="F5" s="30">
        <f>IF(ISBLANK(B5),"",VLOOKUP(B5,Overall!$B$4:$AR$75,21,FALSE))</f>
        <v>45</v>
      </c>
      <c r="G5" s="25">
        <f>IF(ISBLANK($B4),"",IF(OR($B5=$B4,$B5=$B3),"*",""))</f>
      </c>
      <c r="H5" s="30">
        <v>3</v>
      </c>
      <c r="I5" s="30">
        <v>28</v>
      </c>
      <c r="J5" s="31" t="s">
        <v>91</v>
      </c>
      <c r="K5" s="30">
        <v>25</v>
      </c>
      <c r="AA5" s="25">
        <v>1</v>
      </c>
      <c r="AB5" s="25">
        <v>28</v>
      </c>
      <c r="AC5" s="25" t="s">
        <v>3</v>
      </c>
      <c r="AD5" s="24" t="s">
        <v>91</v>
      </c>
      <c r="AE5" s="25">
        <v>1</v>
      </c>
      <c r="AF5" s="25">
        <v>25</v>
      </c>
    </row>
    <row r="6" spans="1:32" ht="15">
      <c r="A6" s="30">
        <v>4</v>
      </c>
      <c r="B6" s="30">
        <v>23</v>
      </c>
      <c r="C6" s="30" t="str">
        <f>IF(ISBLANK(B6),"",VLOOKUP(B6,Entries!$A$4:$C$70,2,FALSE))</f>
        <v>A</v>
      </c>
      <c r="D6" s="31" t="str">
        <f>IF(ISBLANK(B6),"",VLOOKUP(B6,Entries!$A$4:$C$70,3,FALSE))</f>
        <v>Springfield Striders Men A</v>
      </c>
      <c r="E6" s="30">
        <f t="shared" si="0"/>
        <v>4</v>
      </c>
      <c r="F6" s="30">
        <f>IF(ISBLANK(B6),"",VLOOKUP(B6,Overall!$B$4:$AR$75,21,FALSE))</f>
        <v>12</v>
      </c>
      <c r="G6" s="25">
        <f>IF(ISBLANK($B5),"",IF(OR($B6=$B5,$B6=$B4,$B6=$B3),"*",""))</f>
      </c>
      <c r="H6" s="30">
        <v>4</v>
      </c>
      <c r="I6" s="30">
        <v>9</v>
      </c>
      <c r="J6" s="31" t="s">
        <v>135</v>
      </c>
      <c r="K6" s="30">
        <v>30</v>
      </c>
      <c r="AA6" s="25">
        <v>10</v>
      </c>
      <c r="AB6" s="25">
        <v>9</v>
      </c>
      <c r="AC6" s="25" t="s">
        <v>3</v>
      </c>
      <c r="AD6" s="24" t="s">
        <v>135</v>
      </c>
      <c r="AE6" s="25">
        <v>10</v>
      </c>
      <c r="AF6" s="25">
        <v>30</v>
      </c>
    </row>
    <row r="7" spans="1:32" ht="15">
      <c r="A7" s="30">
        <v>5</v>
      </c>
      <c r="B7" s="30">
        <v>17</v>
      </c>
      <c r="C7" s="30" t="str">
        <f>IF(ISBLANK(B7),"",VLOOKUP(B7,Entries!$A$4:$C$70,2,FALSE))</f>
        <v>A</v>
      </c>
      <c r="D7" s="31" t="str">
        <f>IF(ISBLANK(B7),"",VLOOKUP(B7,Entries!$A$4:$C$70,3,FALSE))</f>
        <v>Benfleet Men A</v>
      </c>
      <c r="E7" s="30">
        <f t="shared" si="0"/>
        <v>5</v>
      </c>
      <c r="F7" s="30">
        <f>IF(ISBLANK(B7),"",VLOOKUP(B7,Overall!$B$4:$AR$75,21,FALSE))</f>
        <v>23</v>
      </c>
      <c r="G7" s="25">
        <f>IF(ISBLANK($B6),"",IF(OR($B7=$B6,$B7=$B5,$B7=$B4,$B7=$B3),"*",""))</f>
      </c>
      <c r="H7" s="30">
        <v>5</v>
      </c>
      <c r="I7" s="30">
        <v>31</v>
      </c>
      <c r="J7" s="31" t="s">
        <v>101</v>
      </c>
      <c r="K7" s="30">
        <v>36</v>
      </c>
      <c r="AA7" s="25">
        <v>12</v>
      </c>
      <c r="AB7" s="25">
        <v>31</v>
      </c>
      <c r="AC7" s="25" t="s">
        <v>3</v>
      </c>
      <c r="AD7" s="24" t="s">
        <v>101</v>
      </c>
      <c r="AE7" s="25">
        <v>12</v>
      </c>
      <c r="AF7" s="25">
        <v>36</v>
      </c>
    </row>
    <row r="8" spans="1:32" ht="15">
      <c r="A8" s="30">
        <v>6</v>
      </c>
      <c r="B8" s="30">
        <v>50</v>
      </c>
      <c r="C8" s="30" t="str">
        <f>IF(ISBLANK(B8),"",VLOOKUP(B8,Entries!$A$4:$C$70,2,FALSE))</f>
        <v>V</v>
      </c>
      <c r="D8" s="31" t="str">
        <f>IF(ISBLANK(B8),"",VLOOKUP(B8,Entries!$A$4:$C$70,3,FALSE))</f>
        <v>Harwich Runners Vets</v>
      </c>
      <c r="E8" s="30">
        <f t="shared" si="0"/>
        <v>6</v>
      </c>
      <c r="F8" s="30">
        <f>IF(ISBLANK(B8),"",VLOOKUP(B8,Overall!$B$4:$AR$75,21,FALSE))</f>
        <v>72</v>
      </c>
      <c r="G8" s="25">
        <f>IF(ISBLANK($B7),"",IF(OR($B8=$B7,$B8=$B6,$B8=$B5,$B8=$B4,$B8=$B3),"*",""))</f>
      </c>
      <c r="H8" s="30">
        <v>6</v>
      </c>
      <c r="I8" s="30">
        <v>32</v>
      </c>
      <c r="J8" s="31" t="s">
        <v>163</v>
      </c>
      <c r="K8" s="30">
        <v>41</v>
      </c>
      <c r="AA8" s="25">
        <v>11</v>
      </c>
      <c r="AB8" s="25">
        <v>32</v>
      </c>
      <c r="AC8" s="25" t="s">
        <v>3</v>
      </c>
      <c r="AD8" s="24" t="s">
        <v>163</v>
      </c>
      <c r="AE8" s="25">
        <v>11</v>
      </c>
      <c r="AF8" s="25">
        <v>41</v>
      </c>
    </row>
    <row r="9" spans="1:32" ht="15">
      <c r="A9" s="30">
        <v>7</v>
      </c>
      <c r="B9" s="30">
        <v>70</v>
      </c>
      <c r="C9" s="30" t="str">
        <f>IF(ISBLANK(B9),"",VLOOKUP(B9,Entries!$A$4:$C$70,2,FALSE))</f>
        <v>L</v>
      </c>
      <c r="D9" s="31" t="str">
        <f>IF(ISBLANK(B9),"",VLOOKUP(B9,Entries!$A$4:$C$70,3,FALSE))</f>
        <v>Harwich Runners Ladies</v>
      </c>
      <c r="E9" s="30">
        <f t="shared" si="0"/>
        <v>7</v>
      </c>
      <c r="F9" s="30">
        <f>IF(ISBLANK(B9),"",VLOOKUP(B9,Overall!$B$4:$AR$75,21,FALSE))</f>
        <v>185</v>
      </c>
      <c r="G9" s="25">
        <f>IF(ISBLANK($B8),"",IF(OR($B9=$B8,$B9=$B7,$B9=$B6,$B9=$B5,$B9=$B4,$B9=$B3),"*",""))</f>
      </c>
      <c r="H9" s="30">
        <v>7</v>
      </c>
      <c r="I9" s="30">
        <v>21</v>
      </c>
      <c r="J9" s="31" t="s">
        <v>149</v>
      </c>
      <c r="K9" s="30">
        <v>43</v>
      </c>
      <c r="AA9" s="25">
        <v>8</v>
      </c>
      <c r="AB9" s="25">
        <v>21</v>
      </c>
      <c r="AC9" s="25" t="s">
        <v>3</v>
      </c>
      <c r="AD9" s="24" t="s">
        <v>149</v>
      </c>
      <c r="AE9" s="25">
        <v>8</v>
      </c>
      <c r="AF9" s="25">
        <v>43</v>
      </c>
    </row>
    <row r="10" spans="1:32" ht="15">
      <c r="A10" s="30">
        <v>8</v>
      </c>
      <c r="B10" s="30">
        <v>21</v>
      </c>
      <c r="C10" s="30" t="str">
        <f>IF(ISBLANK(B10),"",VLOOKUP(B10,Entries!$A$4:$C$70,2,FALSE))</f>
        <v>A</v>
      </c>
      <c r="D10" s="31" t="str">
        <f>IF(ISBLANK(B10),"",VLOOKUP(B10,Entries!$A$4:$C$70,3,FALSE))</f>
        <v>TGT Men A</v>
      </c>
      <c r="E10" s="30">
        <f t="shared" si="0"/>
        <v>8</v>
      </c>
      <c r="F10" s="30">
        <f>IF(ISBLANK(B10),"",VLOOKUP(B10,Overall!$B$4:$AR$75,21,FALSE))</f>
        <v>43</v>
      </c>
      <c r="G10" s="25">
        <f>IF(ISBLANK($B9),"",IF(OR($B10=$B9,$B10=$B8,$B10=$B7,$B10=$B6,$B10=$B5,$B10=$B4,$B10=$B3),"*",""))</f>
      </c>
      <c r="H10" s="30">
        <v>8</v>
      </c>
      <c r="I10" s="30">
        <v>24</v>
      </c>
      <c r="J10" s="31" t="s">
        <v>157</v>
      </c>
      <c r="K10" s="30">
        <v>45</v>
      </c>
      <c r="AA10" s="25">
        <v>3</v>
      </c>
      <c r="AB10" s="25">
        <v>24</v>
      </c>
      <c r="AC10" s="25" t="s">
        <v>3</v>
      </c>
      <c r="AD10" s="24" t="s">
        <v>157</v>
      </c>
      <c r="AE10" s="25">
        <v>3</v>
      </c>
      <c r="AF10" s="25">
        <v>45</v>
      </c>
    </row>
    <row r="11" spans="1:32" ht="15">
      <c r="A11" s="30">
        <v>9</v>
      </c>
      <c r="B11" s="30">
        <v>51</v>
      </c>
      <c r="C11" s="30" t="str">
        <f>IF(ISBLANK(B11),"",VLOOKUP(B11,Entries!$A$4:$C$70,2,FALSE))</f>
        <v>V</v>
      </c>
      <c r="D11" s="31" t="str">
        <f>IF(ISBLANK(B11),"",VLOOKUP(B11,Entries!$A$4:$C$70,3,FALSE))</f>
        <v>Ilford Vets</v>
      </c>
      <c r="E11" s="30">
        <f t="shared" si="0"/>
        <v>9</v>
      </c>
      <c r="F11" s="30">
        <f>IF(ISBLANK(B11),"",VLOOKUP(B11,Overall!$B$4:$AR$75,21,FALSE))</f>
        <v>149</v>
      </c>
      <c r="G11" s="25">
        <f>IF(ISBLANK($B10),"",IF(OR($B11=$B10,$B11=$B9,$B11=$B8,$B11=$B7,$B11=$B6,$B11=$B5,$B11=$B4,$B11=$B3),"*",""))</f>
      </c>
      <c r="H11" s="30">
        <v>9</v>
      </c>
      <c r="I11" s="30">
        <v>5</v>
      </c>
      <c r="J11" s="31" t="s">
        <v>124</v>
      </c>
      <c r="K11" s="30">
        <v>56</v>
      </c>
      <c r="AA11" s="25">
        <v>17</v>
      </c>
      <c r="AB11" s="25">
        <v>5</v>
      </c>
      <c r="AC11" s="25" t="s">
        <v>3</v>
      </c>
      <c r="AD11" s="24" t="s">
        <v>124</v>
      </c>
      <c r="AE11" s="25">
        <v>17</v>
      </c>
      <c r="AF11" s="25">
        <v>56</v>
      </c>
    </row>
    <row r="12" spans="1:32" ht="15">
      <c r="A12" s="30">
        <v>10</v>
      </c>
      <c r="B12" s="30">
        <v>9</v>
      </c>
      <c r="C12" s="30" t="str">
        <f>IF(ISBLANK(B12),"",VLOOKUP(B12,Entries!$A$4:$C$70,2,FALSE))</f>
        <v>A</v>
      </c>
      <c r="D12" s="31" t="str">
        <f>IF(ISBLANK(B12),"",VLOOKUP(B12,Entries!$A$4:$C$70,3,FALSE))</f>
        <v>Leigh on Sea Striders - I liked the Boys</v>
      </c>
      <c r="E12" s="30">
        <f t="shared" si="0"/>
        <v>10</v>
      </c>
      <c r="F12" s="30">
        <f>IF(ISBLANK(B12),"",VLOOKUP(B12,Overall!$B$4:$AR$75,21,FALSE))</f>
        <v>30</v>
      </c>
      <c r="G12" s="25">
        <f>IF(ISBLANK($B12),"",IF(OR($B12=$B11,$B12=$B10,$B12=$B9,$B12=$B8,$B12=$B7,$B12=$B6,$B12=$B5,$B12=$B4,$B12=$B3),"*",""))</f>
      </c>
      <c r="H12" s="30">
        <v>10</v>
      </c>
      <c r="I12" s="30">
        <v>18</v>
      </c>
      <c r="J12" s="31" t="s">
        <v>109</v>
      </c>
      <c r="K12" s="30">
        <v>67</v>
      </c>
      <c r="AA12" s="25">
        <v>29</v>
      </c>
      <c r="AB12" s="25">
        <v>18</v>
      </c>
      <c r="AC12" s="25" t="s">
        <v>3</v>
      </c>
      <c r="AD12" s="24" t="s">
        <v>109</v>
      </c>
      <c r="AE12" s="25">
        <v>29</v>
      </c>
      <c r="AF12" s="25">
        <v>67</v>
      </c>
    </row>
    <row r="13" spans="1:32" ht="15">
      <c r="A13" s="30">
        <v>11</v>
      </c>
      <c r="B13" s="30">
        <v>32</v>
      </c>
      <c r="C13" s="30" t="str">
        <f>IF(ISBLANK(B13),"",VLOOKUP(B13,Entries!$A$4:$C$70,2,FALSE))</f>
        <v>A</v>
      </c>
      <c r="D13" s="31" t="str">
        <f>IF(ISBLANK(B13),"",VLOOKUP(B13,Entries!$A$4:$C$70,3,FALSE))</f>
        <v>Grange Farm A</v>
      </c>
      <c r="E13" s="30">
        <f t="shared" si="0"/>
        <v>11</v>
      </c>
      <c r="F13" s="30">
        <f>IF(ISBLANK(B13),"",VLOOKUP(B13,Overall!$B$4:$AR$75,21,FALSE))</f>
        <v>41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36</v>
      </c>
      <c r="J13" s="31" t="s">
        <v>102</v>
      </c>
      <c r="K13" s="30">
        <v>77</v>
      </c>
      <c r="AA13" s="25">
        <v>18</v>
      </c>
      <c r="AB13" s="25">
        <v>36</v>
      </c>
      <c r="AC13" s="25" t="s">
        <v>3</v>
      </c>
      <c r="AD13" s="24" t="s">
        <v>102</v>
      </c>
      <c r="AE13" s="25">
        <v>18</v>
      </c>
      <c r="AF13" s="25">
        <v>77</v>
      </c>
    </row>
    <row r="14" spans="1:32" ht="15">
      <c r="A14" s="30">
        <v>12</v>
      </c>
      <c r="B14" s="30">
        <v>31</v>
      </c>
      <c r="C14" s="30" t="str">
        <f>IF(ISBLANK(B14),"",VLOOKUP(B14,Entries!$A$4:$C$70,2,FALSE))</f>
        <v>A</v>
      </c>
      <c r="D14" s="31" t="str">
        <f>IF(ISBLANK(B14),"",VLOOKUP(B14,Entries!$A$4:$C$70,3,FALSE))</f>
        <v>Springfield Striders Men B</v>
      </c>
      <c r="E14" s="30">
        <f t="shared" si="0"/>
        <v>12</v>
      </c>
      <c r="F14" s="30">
        <f>IF(ISBLANK(B14),"",VLOOKUP(B14,Overall!$B$4:$AR$75,21,FALSE))</f>
        <v>36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7</v>
      </c>
      <c r="J14" s="31" t="s">
        <v>129</v>
      </c>
      <c r="K14" s="30">
        <v>86</v>
      </c>
      <c r="AA14" s="25">
        <v>16</v>
      </c>
      <c r="AB14" s="25">
        <v>7</v>
      </c>
      <c r="AC14" s="25" t="s">
        <v>3</v>
      </c>
      <c r="AD14" s="24" t="s">
        <v>129</v>
      </c>
      <c r="AE14" s="25">
        <v>16</v>
      </c>
      <c r="AF14" s="25">
        <v>86</v>
      </c>
    </row>
    <row r="15" spans="1:32" ht="15">
      <c r="A15" s="30">
        <v>13</v>
      </c>
      <c r="B15" s="30">
        <v>1</v>
      </c>
      <c r="C15" s="30" t="str">
        <f>IF(ISBLANK(B15),"",VLOOKUP(B15,Entries!$A$4:$C$70,2,FALSE))</f>
        <v>A</v>
      </c>
      <c r="D15" s="31" t="str">
        <f>IF(ISBLANK(B15),"",VLOOKUP(B15,Entries!$A$4:$C$70,3,FALSE))</f>
        <v>Eton Manor AC</v>
      </c>
      <c r="E15" s="30">
        <f t="shared" si="0"/>
        <v>13</v>
      </c>
      <c r="F15" s="30">
        <f>IF(ISBLANK(B15),"",VLOOKUP(B15,Overall!$B$4:$AR$75,21,FALSE))</f>
        <v>145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26</v>
      </c>
      <c r="J15" s="31" t="s">
        <v>162</v>
      </c>
      <c r="K15" s="30">
        <v>93</v>
      </c>
      <c r="AA15" s="25">
        <v>2</v>
      </c>
      <c r="AB15" s="25">
        <v>26</v>
      </c>
      <c r="AC15" s="25" t="s">
        <v>3</v>
      </c>
      <c r="AD15" s="24" t="s">
        <v>162</v>
      </c>
      <c r="AE15" s="25">
        <v>2</v>
      </c>
      <c r="AF15" s="25">
        <v>93</v>
      </c>
    </row>
    <row r="16" spans="1:32" ht="15">
      <c r="A16" s="30">
        <v>14</v>
      </c>
      <c r="B16" s="30">
        <v>8</v>
      </c>
      <c r="C16" s="30" t="str">
        <f>IF(ISBLANK(B16),"",VLOOKUP(B16,Entries!$A$4:$C$70,2,FALSE))</f>
        <v>A</v>
      </c>
      <c r="D16" s="31" t="str">
        <f>IF(ISBLANK(B16),"",VLOOKUP(B16,Entries!$A$4:$C$70,3,FALSE))</f>
        <v>East Essex Tri Men</v>
      </c>
      <c r="E16" s="30">
        <f t="shared" si="0"/>
        <v>14</v>
      </c>
      <c r="F16" s="30">
        <f>IF(ISBLANK(B16),"",VLOOKUP(B16,Overall!$B$4:$AR$75,21,FALSE))</f>
        <v>189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33</v>
      </c>
      <c r="J16" s="31" t="s">
        <v>166</v>
      </c>
      <c r="K16" s="30">
        <v>102</v>
      </c>
      <c r="AA16" s="25">
        <v>22</v>
      </c>
      <c r="AB16" s="25">
        <v>33</v>
      </c>
      <c r="AC16" s="25" t="s">
        <v>3</v>
      </c>
      <c r="AD16" s="24" t="s">
        <v>166</v>
      </c>
      <c r="AE16" s="25">
        <v>22</v>
      </c>
      <c r="AF16" s="25">
        <v>102</v>
      </c>
    </row>
    <row r="17" spans="1:32" ht="15">
      <c r="A17" s="30">
        <v>15</v>
      </c>
      <c r="B17" s="30">
        <v>61</v>
      </c>
      <c r="C17" s="30" t="str">
        <f>IF(ISBLANK(B17),"",VLOOKUP(B17,Entries!$A$4:$C$70,2,FALSE))</f>
        <v>L</v>
      </c>
      <c r="D17" s="31" t="str">
        <f>IF(ISBLANK(B17),"",VLOOKUP(B17,Entries!$A$4:$C$70,3,FALSE))</f>
        <v>East Essex Tri Women</v>
      </c>
      <c r="E17" s="30">
        <f t="shared" si="0"/>
        <v>15</v>
      </c>
      <c r="F17" s="30">
        <f>IF(ISBLANK(B17),"",VLOOKUP(B17,Overall!$B$4:$AR$75,21,FALSE))</f>
        <v>163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25</v>
      </c>
      <c r="J17" s="31" t="s">
        <v>160</v>
      </c>
      <c r="K17" s="30">
        <v>107</v>
      </c>
      <c r="AA17" s="25">
        <v>34</v>
      </c>
      <c r="AB17" s="25">
        <v>25</v>
      </c>
      <c r="AC17" s="25" t="s">
        <v>3</v>
      </c>
      <c r="AD17" s="24" t="s">
        <v>160</v>
      </c>
      <c r="AE17" s="25">
        <v>34</v>
      </c>
      <c r="AF17" s="25">
        <v>107</v>
      </c>
    </row>
    <row r="18" spans="1:32" ht="15">
      <c r="A18" s="30">
        <v>16</v>
      </c>
      <c r="B18" s="30">
        <v>7</v>
      </c>
      <c r="C18" s="30" t="str">
        <f>IF(ISBLANK(B18),"",VLOOKUP(B18,Entries!$A$4:$C$70,2,FALSE))</f>
        <v>A</v>
      </c>
      <c r="D18" s="31" t="str">
        <f>IF(ISBLANK(B18),"",VLOOKUP(B18,Entries!$A$4:$C$70,3,FALSE))</f>
        <v>Halstead Road Runners</v>
      </c>
      <c r="E18" s="30">
        <f t="shared" si="0"/>
        <v>16</v>
      </c>
      <c r="F18" s="30">
        <f>IF(ISBLANK(B18),"",VLOOKUP(B18,Overall!$B$4:$AR$75,21,FALSE))</f>
        <v>86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13</v>
      </c>
      <c r="J18" s="31" t="s">
        <v>85</v>
      </c>
      <c r="K18" s="30">
        <v>120</v>
      </c>
      <c r="AA18" s="25">
        <v>41</v>
      </c>
      <c r="AB18" s="25">
        <v>13</v>
      </c>
      <c r="AC18" s="25" t="s">
        <v>3</v>
      </c>
      <c r="AD18" s="24" t="s">
        <v>85</v>
      </c>
      <c r="AE18" s="25">
        <v>41</v>
      </c>
      <c r="AF18" s="25">
        <v>120</v>
      </c>
    </row>
    <row r="19" spans="1:32" ht="15">
      <c r="A19" s="30">
        <v>17</v>
      </c>
      <c r="B19" s="30">
        <v>5</v>
      </c>
      <c r="C19" s="30" t="str">
        <f>IF(ISBLANK(B19),"",VLOOKUP(B19,Entries!$A$4:$C$70,2,FALSE))</f>
        <v>A</v>
      </c>
      <c r="D19" s="31" t="str">
        <f>IF(ISBLANK(B19),"",VLOOKUP(B19,Entries!$A$4:$C$70,3,FALSE))</f>
        <v>Tiptree Men</v>
      </c>
      <c r="E19" s="30">
        <f t="shared" si="0"/>
        <v>17</v>
      </c>
      <c r="F19" s="30">
        <f>IF(ISBLANK(B19),"",VLOOKUP(B19,Overall!$B$4:$AR$75,21,FALSE))</f>
        <v>56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10</v>
      </c>
      <c r="J19" s="31" t="s">
        <v>136</v>
      </c>
      <c r="K19" s="30">
        <v>132</v>
      </c>
      <c r="AA19" s="25">
        <v>19</v>
      </c>
      <c r="AB19" s="25">
        <v>10</v>
      </c>
      <c r="AC19" s="25" t="s">
        <v>3</v>
      </c>
      <c r="AD19" s="24" t="s">
        <v>136</v>
      </c>
      <c r="AE19" s="25">
        <v>19</v>
      </c>
      <c r="AF19" s="25">
        <v>132</v>
      </c>
    </row>
    <row r="20" spans="1:32" ht="15">
      <c r="A20" s="30">
        <v>18</v>
      </c>
      <c r="B20" s="30">
        <v>36</v>
      </c>
      <c r="C20" s="30" t="str">
        <f>IF(ISBLANK(B20),"",VLOOKUP(B20,Entries!$A$4:$C$70,2,FALSE))</f>
        <v>A</v>
      </c>
      <c r="D20" s="31" t="str">
        <f>IF(ISBLANK(B20),"",VLOOKUP(B20,Entries!$A$4:$C$70,3,FALSE))</f>
        <v>Springfield Striders Mixed A</v>
      </c>
      <c r="E20" s="30">
        <f t="shared" si="0"/>
        <v>18</v>
      </c>
      <c r="F20" s="30">
        <f>IF(ISBLANK(B20),"",VLOOKUP(B20,Overall!$B$4:$AR$75,21,FALSE))</f>
        <v>77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37</v>
      </c>
      <c r="J20" s="31" t="s">
        <v>103</v>
      </c>
      <c r="K20" s="30">
        <v>143</v>
      </c>
      <c r="AA20" s="25">
        <v>27</v>
      </c>
      <c r="AB20" s="25">
        <v>37</v>
      </c>
      <c r="AC20" s="25" t="s">
        <v>3</v>
      </c>
      <c r="AD20" s="24" t="s">
        <v>103</v>
      </c>
      <c r="AE20" s="25">
        <v>27</v>
      </c>
      <c r="AF20" s="25">
        <v>143</v>
      </c>
    </row>
    <row r="21" spans="1:32" ht="15">
      <c r="A21" s="30">
        <v>19</v>
      </c>
      <c r="B21" s="30">
        <v>10</v>
      </c>
      <c r="C21" s="30" t="str">
        <f>IF(ISBLANK(B21),"",VLOOKUP(B21,Entries!$A$4:$C$70,2,FALSE))</f>
        <v>A</v>
      </c>
      <c r="D21" s="31" t="str">
        <f>IF(ISBLANK(B21),"",VLOOKUP(B21,Entries!$A$4:$C$70,3,FALSE))</f>
        <v>Colchester Harriers - Colchester Allsorts</v>
      </c>
      <c r="E21" s="30">
        <f t="shared" si="0"/>
        <v>19</v>
      </c>
      <c r="F21" s="30">
        <f>IF(ISBLANK(B21),"",VLOOKUP(B21,Overall!$B$4:$AR$75,21,FALSE))</f>
        <v>132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1</v>
      </c>
      <c r="J21" s="31" t="s">
        <v>117</v>
      </c>
      <c r="K21" s="30">
        <v>145</v>
      </c>
      <c r="AA21" s="25">
        <v>13</v>
      </c>
      <c r="AB21" s="25">
        <v>1</v>
      </c>
      <c r="AC21" s="25" t="s">
        <v>3</v>
      </c>
      <c r="AD21" s="24" t="s">
        <v>117</v>
      </c>
      <c r="AE21" s="25">
        <v>13</v>
      </c>
      <c r="AF21" s="25">
        <v>145</v>
      </c>
    </row>
    <row r="22" spans="1:32" ht="15">
      <c r="A22" s="30">
        <v>20</v>
      </c>
      <c r="B22" s="30">
        <v>29</v>
      </c>
      <c r="C22" s="30" t="str">
        <f>IF(ISBLANK(B22),"",VLOOKUP(B22,Entries!$A$4:$C$70,2,FALSE))</f>
        <v>A</v>
      </c>
      <c r="D22" s="31" t="str">
        <f>IF(ISBLANK(B22),"",VLOOKUP(B22,Entries!$A$4:$C$70,3,FALSE))</f>
        <v>Ilford B</v>
      </c>
      <c r="E22" s="30">
        <f t="shared" si="0"/>
        <v>20</v>
      </c>
      <c r="F22" s="30">
        <f>IF(ISBLANK(B22),"",VLOOKUP(B22,Overall!$B$4:$AR$75,21,FALSE))</f>
        <v>202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19</v>
      </c>
      <c r="J22" s="31" t="s">
        <v>110</v>
      </c>
      <c r="K22" s="30">
        <v>146</v>
      </c>
      <c r="AA22" s="25">
        <v>43</v>
      </c>
      <c r="AB22" s="25">
        <v>19</v>
      </c>
      <c r="AC22" s="25" t="s">
        <v>3</v>
      </c>
      <c r="AD22" s="24" t="s">
        <v>110</v>
      </c>
      <c r="AE22" s="25">
        <v>43</v>
      </c>
      <c r="AF22" s="25">
        <v>146</v>
      </c>
    </row>
    <row r="23" spans="1:32" ht="15">
      <c r="A23" s="30">
        <v>21</v>
      </c>
      <c r="B23" s="30">
        <v>53</v>
      </c>
      <c r="C23" s="30" t="str">
        <f>IF(ISBLANK(B23),"",VLOOKUP(B23,Entries!$A$4:$C$70,2,FALSE))</f>
        <v>V</v>
      </c>
      <c r="D23" s="31" t="str">
        <f>IF(ISBLANK(B23),"",VLOOKUP(B23,Entries!$A$4:$C$70,3,FALSE))</f>
        <v>Springfield Striders Vets</v>
      </c>
      <c r="E23" s="30">
        <f t="shared" si="0"/>
        <v>21</v>
      </c>
      <c r="F23" s="30">
        <f>IF(ISBLANK(B23),"",VLOOKUP(B23,Overall!$B$4:$AR$75,21,FALSE))</f>
        <v>93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14</v>
      </c>
      <c r="J23" s="31" t="s">
        <v>141</v>
      </c>
      <c r="K23" s="30">
        <v>165</v>
      </c>
      <c r="AA23" s="25">
        <v>32</v>
      </c>
      <c r="AB23" s="25">
        <v>14</v>
      </c>
      <c r="AC23" s="25" t="s">
        <v>3</v>
      </c>
      <c r="AD23" s="24" t="s">
        <v>141</v>
      </c>
      <c r="AE23" s="25">
        <v>32</v>
      </c>
      <c r="AF23" s="25">
        <v>165</v>
      </c>
    </row>
    <row r="24" spans="1:32" ht="15">
      <c r="A24" s="30">
        <v>22</v>
      </c>
      <c r="B24" s="30">
        <v>33</v>
      </c>
      <c r="C24" s="30" t="str">
        <f>IF(ISBLANK(B24),"",VLOOKUP(B24,Entries!$A$4:$C$70,2,FALSE))</f>
        <v>A</v>
      </c>
      <c r="D24" s="31" t="str">
        <f>IF(ISBLANK(B24),"",VLOOKUP(B24,Entries!$A$4:$C$70,3,FALSE))</f>
        <v>Grange Farm B</v>
      </c>
      <c r="E24" s="30">
        <f t="shared" si="0"/>
        <v>22</v>
      </c>
      <c r="F24" s="30">
        <f>IF(ISBLANK(B24),"",VLOOKUP(B24,Overall!$B$4:$AR$75,21,FALSE))</f>
        <v>102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34</v>
      </c>
      <c r="J24" s="31" t="s">
        <v>167</v>
      </c>
      <c r="K24" s="30">
        <v>168</v>
      </c>
      <c r="AA24" s="25">
        <v>51</v>
      </c>
      <c r="AB24" s="25">
        <v>34</v>
      </c>
      <c r="AC24" s="25" t="s">
        <v>3</v>
      </c>
      <c r="AD24" s="24" t="s">
        <v>167</v>
      </c>
      <c r="AE24" s="25">
        <v>51</v>
      </c>
      <c r="AF24" s="25">
        <v>168</v>
      </c>
    </row>
    <row r="25" spans="1:32" ht="15">
      <c r="A25" s="30">
        <v>23</v>
      </c>
      <c r="B25" s="30">
        <v>62</v>
      </c>
      <c r="C25" s="30" t="str">
        <f>IF(ISBLANK(B25),"",VLOOKUP(B25,Entries!$A$4:$C$70,2,FALSE))</f>
        <v>L</v>
      </c>
      <c r="D25" s="31" t="str">
        <f>IF(ISBLANK(B25),"",VLOOKUP(B25,Entries!$A$4:$C$70,3,FALSE))</f>
        <v>Leigh on Sea - Weekend without Make up</v>
      </c>
      <c r="E25" s="30">
        <f t="shared" si="0"/>
        <v>23</v>
      </c>
      <c r="F25" s="30">
        <f>IF(ISBLANK(B25),"",VLOOKUP(B25,Overall!$B$4:$AR$75,21,FALSE))</f>
        <v>147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22</v>
      </c>
      <c r="J25" s="31" t="s">
        <v>152</v>
      </c>
      <c r="K25" s="30">
        <v>173</v>
      </c>
      <c r="AA25" s="25">
        <v>47</v>
      </c>
      <c r="AB25" s="25">
        <v>22</v>
      </c>
      <c r="AC25" s="25" t="s">
        <v>3</v>
      </c>
      <c r="AD25" s="24" t="s">
        <v>152</v>
      </c>
      <c r="AE25" s="25">
        <v>47</v>
      </c>
      <c r="AF25" s="25">
        <v>173</v>
      </c>
    </row>
    <row r="26" spans="1:32" ht="15">
      <c r="A26" s="30">
        <v>24</v>
      </c>
      <c r="B26" s="30">
        <v>38</v>
      </c>
      <c r="C26" s="30" t="str">
        <f>IF(ISBLANK(B26),"",VLOOKUP(B26,Entries!$A$4:$C$70,2,FALSE))</f>
        <v>A</v>
      </c>
      <c r="D26" s="31" t="str">
        <f>IF(ISBLANK(B26),"",VLOOKUP(B26,Entries!$A$4:$C$70,3,FALSE))</f>
        <v>Springfield Striders Mixed C</v>
      </c>
      <c r="E26" s="30">
        <f t="shared" si="0"/>
        <v>24</v>
      </c>
      <c r="F26" s="30">
        <f>IF(ISBLANK(B26),"",VLOOKUP(B26,Overall!$B$4:$AR$75,21,FALSE))</f>
        <v>206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6</v>
      </c>
      <c r="J26" s="31" t="s">
        <v>127</v>
      </c>
      <c r="K26" s="30">
        <v>179</v>
      </c>
      <c r="AA26" s="25">
        <v>26</v>
      </c>
      <c r="AB26" s="25">
        <v>6</v>
      </c>
      <c r="AC26" s="25" t="s">
        <v>3</v>
      </c>
      <c r="AD26" s="24" t="s">
        <v>127</v>
      </c>
      <c r="AE26" s="25">
        <v>26</v>
      </c>
      <c r="AF26" s="25">
        <v>179</v>
      </c>
    </row>
    <row r="27" spans="1:32" ht="15">
      <c r="A27" s="30">
        <v>25</v>
      </c>
      <c r="B27" s="30">
        <v>2</v>
      </c>
      <c r="C27" s="30" t="str">
        <f>IF(ISBLANK(B27),"",VLOOKUP(B27,Entries!$A$4:$C$70,2,FALSE))</f>
        <v>A</v>
      </c>
      <c r="D27" s="31" t="str">
        <f>IF(ISBLANK(B27),"",VLOOKUP(B27,Entries!$A$4:$C$70,3,FALSE))</f>
        <v>Thurrock Nomads A</v>
      </c>
      <c r="E27" s="30">
        <f t="shared" si="0"/>
        <v>25</v>
      </c>
      <c r="F27" s="30">
        <f>IF(ISBLANK(B27),"",VLOOKUP(B27,Overall!$B$4:$AR$75,21,FALSE))</f>
        <v>183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2</v>
      </c>
      <c r="J27" s="31" t="s">
        <v>98</v>
      </c>
      <c r="K27" s="30">
        <v>183</v>
      </c>
      <c r="AA27" s="25">
        <v>25</v>
      </c>
      <c r="AB27" s="25">
        <v>2</v>
      </c>
      <c r="AC27" s="25" t="s">
        <v>3</v>
      </c>
      <c r="AD27" s="24" t="s">
        <v>98</v>
      </c>
      <c r="AE27" s="25">
        <v>25</v>
      </c>
      <c r="AF27" s="25">
        <v>183</v>
      </c>
    </row>
    <row r="28" spans="1:32" ht="15">
      <c r="A28" s="30">
        <v>26</v>
      </c>
      <c r="B28" s="30">
        <v>6</v>
      </c>
      <c r="C28" s="30" t="str">
        <f>IF(ISBLANK(B28),"",VLOOKUP(B28,Entries!$A$4:$C$70,2,FALSE))</f>
        <v>A</v>
      </c>
      <c r="D28" s="31" t="str">
        <f>IF(ISBLANK(B28),"",VLOOKUP(B28,Entries!$A$4:$C$70,3,FALSE))</f>
        <v>Thurrock Nomads B - The Z list</v>
      </c>
      <c r="E28" s="30">
        <f t="shared" si="0"/>
        <v>26</v>
      </c>
      <c r="F28" s="30">
        <f>IF(ISBLANK(B28),"",VLOOKUP(B28,Overall!$B$4:$AR$75,21,FALSE))</f>
        <v>179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40</v>
      </c>
      <c r="J28" s="31" t="s">
        <v>173</v>
      </c>
      <c r="K28" s="30">
        <v>183</v>
      </c>
      <c r="AA28" s="25">
        <v>33</v>
      </c>
      <c r="AB28" s="25">
        <v>40</v>
      </c>
      <c r="AC28" s="25" t="s">
        <v>3</v>
      </c>
      <c r="AD28" s="24" t="s">
        <v>173</v>
      </c>
      <c r="AE28" s="25">
        <v>33</v>
      </c>
      <c r="AF28" s="25">
        <v>183</v>
      </c>
    </row>
    <row r="29" spans="1:32" ht="15">
      <c r="A29" s="30">
        <v>27</v>
      </c>
      <c r="B29" s="30">
        <v>37</v>
      </c>
      <c r="C29" s="30" t="str">
        <f>IF(ISBLANK(B29),"",VLOOKUP(B29,Entries!$A$4:$C$70,2,FALSE))</f>
        <v>A</v>
      </c>
      <c r="D29" s="31" t="str">
        <f>IF(ISBLANK(B29),"",VLOOKUP(B29,Entries!$A$4:$C$70,3,FALSE))</f>
        <v>Springfield Striders Mixed B</v>
      </c>
      <c r="E29" s="30">
        <f t="shared" si="0"/>
        <v>27</v>
      </c>
      <c r="F29" s="30">
        <f>IF(ISBLANK(B29),"",VLOOKUP(B29,Overall!$B$4:$AR$75,21,FALSE))</f>
        <v>143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8</v>
      </c>
      <c r="J29" s="31" t="s">
        <v>132</v>
      </c>
      <c r="K29" s="30">
        <v>189</v>
      </c>
      <c r="AA29" s="25">
        <v>14</v>
      </c>
      <c r="AB29" s="25">
        <v>8</v>
      </c>
      <c r="AC29" s="25" t="s">
        <v>3</v>
      </c>
      <c r="AD29" s="24" t="s">
        <v>132</v>
      </c>
      <c r="AE29" s="25">
        <v>14</v>
      </c>
      <c r="AF29" s="25">
        <v>189</v>
      </c>
    </row>
    <row r="30" spans="1:32" ht="15">
      <c r="A30" s="30">
        <v>28</v>
      </c>
      <c r="B30" s="30">
        <v>64</v>
      </c>
      <c r="C30" s="30" t="str">
        <f>IF(ISBLANK(B30),"",VLOOKUP(B30,Entries!$A$4:$C$70,2,FALSE))</f>
        <v>L</v>
      </c>
      <c r="D30" s="31" t="str">
        <f>IF(ISBLANK(B30),"",VLOOKUP(B30,Entries!$A$4:$C$70,3,FALSE))</f>
        <v>Benfleet Ladies A</v>
      </c>
      <c r="E30" s="30">
        <f t="shared" si="0"/>
        <v>28</v>
      </c>
      <c r="F30" s="30">
        <f>IF(ISBLANK(B30),"",VLOOKUP(B30,Overall!$B$4:$AR$75,21,FALSE))</f>
        <v>85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29</v>
      </c>
      <c r="J30" s="31" t="s">
        <v>92</v>
      </c>
      <c r="K30" s="30">
        <v>202</v>
      </c>
      <c r="AA30" s="25">
        <v>20</v>
      </c>
      <c r="AB30" s="25">
        <v>29</v>
      </c>
      <c r="AC30" s="25" t="s">
        <v>3</v>
      </c>
      <c r="AD30" s="24" t="s">
        <v>92</v>
      </c>
      <c r="AE30" s="25">
        <v>20</v>
      </c>
      <c r="AF30" s="25">
        <v>202</v>
      </c>
    </row>
    <row r="31" spans="1:32" ht="15">
      <c r="A31" s="30">
        <v>29</v>
      </c>
      <c r="B31" s="30">
        <v>18</v>
      </c>
      <c r="C31" s="30" t="str">
        <f>IF(ISBLANK(B31),"",VLOOKUP(B31,Entries!$A$4:$C$70,2,FALSE))</f>
        <v>A</v>
      </c>
      <c r="D31" s="31" t="str">
        <f>IF(ISBLANK(B31),"",VLOOKUP(B31,Entries!$A$4:$C$70,3,FALSE))</f>
        <v>Benfleet Men B</v>
      </c>
      <c r="E31" s="30">
        <f t="shared" si="0"/>
        <v>29</v>
      </c>
      <c r="F31" s="30">
        <f>IF(ISBLANK(B31),"",VLOOKUP(B31,Overall!$B$4:$AR$75,21,FALSE))</f>
        <v>67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38</v>
      </c>
      <c r="J31" s="31" t="s">
        <v>104</v>
      </c>
      <c r="K31" s="30">
        <v>206</v>
      </c>
      <c r="AA31" s="25">
        <v>24</v>
      </c>
      <c r="AB31" s="25">
        <v>38</v>
      </c>
      <c r="AC31" s="25" t="s">
        <v>3</v>
      </c>
      <c r="AD31" s="24" t="s">
        <v>104</v>
      </c>
      <c r="AE31" s="25">
        <v>24</v>
      </c>
      <c r="AF31" s="25">
        <v>206</v>
      </c>
    </row>
    <row r="32" spans="1:32" ht="15">
      <c r="A32" s="30">
        <v>30</v>
      </c>
      <c r="B32" s="30">
        <v>59</v>
      </c>
      <c r="C32" s="30" t="str">
        <f>IF(ISBLANK(B32),"",VLOOKUP(B32,Entries!$A$4:$C$70,2,FALSE))</f>
        <v>L</v>
      </c>
      <c r="D32" s="31" t="str">
        <f>IF(ISBLANK(B32),"",VLOOKUP(B32,Entries!$A$4:$C$70,3,FALSE))</f>
        <v>Grange Farm Ladies</v>
      </c>
      <c r="E32" s="30">
        <f t="shared" si="0"/>
        <v>30</v>
      </c>
      <c r="F32" s="30">
        <f>IF(ISBLANK(B32),"",VLOOKUP(B32,Overall!$B$4:$AR$75,21,FALSE))</f>
        <v>141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35</v>
      </c>
      <c r="J32" s="31" t="s">
        <v>168</v>
      </c>
      <c r="K32" s="30">
        <v>209</v>
      </c>
      <c r="AA32" s="25">
        <v>39</v>
      </c>
      <c r="AB32" s="25">
        <v>35</v>
      </c>
      <c r="AC32" s="25" t="s">
        <v>3</v>
      </c>
      <c r="AD32" s="24" t="s">
        <v>168</v>
      </c>
      <c r="AE32" s="25">
        <v>39</v>
      </c>
      <c r="AF32" s="25">
        <v>209</v>
      </c>
    </row>
    <row r="33" spans="1:32" ht="15">
      <c r="A33" s="30">
        <v>31</v>
      </c>
      <c r="B33" s="30">
        <v>57</v>
      </c>
      <c r="C33" s="30" t="str">
        <f>IF(ISBLANK(B33),"",VLOOKUP(B33,Entries!$A$4:$C$70,2,FALSE))</f>
        <v>L</v>
      </c>
      <c r="D33" s="31" t="str">
        <f>IF(ISBLANK(B33),"",VLOOKUP(B33,Entries!$A$4:$C$70,3,FALSE))</f>
        <v>Springfield Striders Ladies A</v>
      </c>
      <c r="E33" s="30">
        <f aca="true" t="shared" si="1" ref="E33:E55">IF(ISBLANK(B33),"",A33)</f>
        <v>31</v>
      </c>
      <c r="F33" s="30">
        <f>IF(ISBLANK(B33),"",VLOOKUP(B33,Overall!$B$4:$AR$75,21,FALSE))</f>
        <v>167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20</v>
      </c>
      <c r="J33" s="31" t="s">
        <v>145</v>
      </c>
      <c r="K33" s="30">
        <v>211</v>
      </c>
      <c r="AA33" s="25">
        <v>52</v>
      </c>
      <c r="AB33" s="25">
        <v>20</v>
      </c>
      <c r="AC33" s="25" t="s">
        <v>3</v>
      </c>
      <c r="AD33" s="24" t="s">
        <v>145</v>
      </c>
      <c r="AE33" s="25">
        <v>52</v>
      </c>
      <c r="AF33" s="25">
        <v>211</v>
      </c>
    </row>
    <row r="34" spans="1:32" ht="15">
      <c r="A34" s="30">
        <v>32</v>
      </c>
      <c r="B34" s="30">
        <v>14</v>
      </c>
      <c r="C34" s="30" t="str">
        <f>IF(ISBLANK(B34),"",VLOOKUP(B34,Entries!$A$4:$C$70,2,FALSE))</f>
        <v>A</v>
      </c>
      <c r="D34" s="31" t="str">
        <f>IF(ISBLANK(B34),"",VLOOKUP(B34,Entries!$A$4:$C$70,3,FALSE))</f>
        <v>Mid Essex Casuals C</v>
      </c>
      <c r="E34" s="30">
        <f t="shared" si="1"/>
        <v>32</v>
      </c>
      <c r="F34" s="30">
        <f>IF(ISBLANK(B34),"",VLOOKUP(B34,Overall!$B$4:$AR$75,21,FALSE))</f>
        <v>165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27</v>
      </c>
      <c r="J34" s="31" t="s">
        <v>97</v>
      </c>
      <c r="K34" s="30">
        <v>230</v>
      </c>
      <c r="AA34" s="25">
        <v>42</v>
      </c>
      <c r="AB34" s="25">
        <v>27</v>
      </c>
      <c r="AC34" s="25" t="s">
        <v>3</v>
      </c>
      <c r="AD34" s="24" t="s">
        <v>97</v>
      </c>
      <c r="AE34" s="25">
        <v>42</v>
      </c>
      <c r="AF34" s="25">
        <v>230</v>
      </c>
    </row>
    <row r="35" spans="1:32" ht="15">
      <c r="A35" s="30">
        <v>33</v>
      </c>
      <c r="B35" s="30">
        <v>40</v>
      </c>
      <c r="C35" s="30" t="str">
        <f>IF(ISBLANK(B35),"",VLOOKUP(B35,Entries!$A$4:$C$70,2,FALSE))</f>
        <v>A</v>
      </c>
      <c r="D35" s="31" t="str">
        <f>IF(ISBLANK(B35),"",VLOOKUP(B35,Entries!$A$4:$C$70,3,FALSE))</f>
        <v>Pitsea RC Men </v>
      </c>
      <c r="E35" s="30">
        <f t="shared" si="1"/>
        <v>33</v>
      </c>
      <c r="F35" s="30">
        <f>IF(ISBLANK(B35),"",VLOOKUP(B35,Overall!$B$4:$AR$75,21,FALSE))</f>
        <v>183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3</v>
      </c>
      <c r="J35" s="31" t="s">
        <v>120</v>
      </c>
      <c r="K35" s="30">
        <v>234</v>
      </c>
      <c r="AA35" s="25">
        <v>57</v>
      </c>
      <c r="AB35" s="25">
        <v>3</v>
      </c>
      <c r="AC35" s="25" t="s">
        <v>3</v>
      </c>
      <c r="AD35" s="24" t="s">
        <v>120</v>
      </c>
      <c r="AE35" s="25">
        <v>57</v>
      </c>
      <c r="AF35" s="25">
        <v>234</v>
      </c>
    </row>
    <row r="36" spans="1:32" ht="15">
      <c r="A36" s="30">
        <v>34</v>
      </c>
      <c r="B36" s="30">
        <v>25</v>
      </c>
      <c r="C36" s="30" t="str">
        <f>IF(ISBLANK(B36),"",VLOOKUP(B36,Entries!$A$4:$C$70,2,FALSE))</f>
        <v>A</v>
      </c>
      <c r="D36" s="31" t="str">
        <f>IF(ISBLANK(B36),"",VLOOKUP(B36,Entries!$A$4:$C$70,3,FALSE))</f>
        <v>Southend Men B</v>
      </c>
      <c r="E36" s="30">
        <f t="shared" si="1"/>
        <v>34</v>
      </c>
      <c r="F36" s="30">
        <f>IF(ISBLANK(B36),"",VLOOKUP(B36,Overall!$B$4:$AR$75,21,FALSE))</f>
        <v>107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16</v>
      </c>
      <c r="J36" s="31" t="s">
        <v>143</v>
      </c>
      <c r="K36" s="30">
        <v>239</v>
      </c>
      <c r="AA36" s="25">
        <v>56</v>
      </c>
      <c r="AB36" s="25">
        <v>16</v>
      </c>
      <c r="AC36" s="25" t="s">
        <v>3</v>
      </c>
      <c r="AD36" s="24" t="s">
        <v>143</v>
      </c>
      <c r="AE36" s="25">
        <v>56</v>
      </c>
      <c r="AF36" s="25">
        <v>239</v>
      </c>
    </row>
    <row r="37" spans="1:32" ht="15">
      <c r="A37" s="30">
        <v>35</v>
      </c>
      <c r="B37" s="30">
        <v>68</v>
      </c>
      <c r="C37" s="30" t="str">
        <f>IF(ISBLANK(B37),"",VLOOKUP(B37,Entries!$A$4:$C$70,2,FALSE))</f>
        <v>L</v>
      </c>
      <c r="D37" s="31" t="str">
        <f>IF(ISBLANK(B37),"",VLOOKUP(B37,Entries!$A$4:$C$70,3,FALSE))</f>
        <v>Pitsea RC Ladies</v>
      </c>
      <c r="E37" s="30">
        <f t="shared" si="1"/>
        <v>35</v>
      </c>
      <c r="F37" s="30">
        <f>IF(ISBLANK(B37),"",VLOOKUP(B37,Overall!$B$4:$AR$75,21,FALSE))</f>
        <v>225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41</v>
      </c>
      <c r="J37" s="31" t="s">
        <v>176</v>
      </c>
      <c r="K37" s="30">
        <v>244</v>
      </c>
      <c r="AA37" s="25">
        <v>36</v>
      </c>
      <c r="AB37" s="25">
        <v>41</v>
      </c>
      <c r="AC37" s="25" t="s">
        <v>3</v>
      </c>
      <c r="AD37" s="24" t="s">
        <v>176</v>
      </c>
      <c r="AE37" s="25">
        <v>36</v>
      </c>
      <c r="AF37" s="25">
        <v>244</v>
      </c>
    </row>
    <row r="38" spans="1:32" ht="15">
      <c r="A38" s="30">
        <v>36</v>
      </c>
      <c r="B38" s="30">
        <v>41</v>
      </c>
      <c r="C38" s="30" t="str">
        <f>IF(ISBLANK(B38),"",VLOOKUP(B38,Entries!$A$4:$C$70,2,FALSE))</f>
        <v>A</v>
      </c>
      <c r="D38" s="31" t="str">
        <f>IF(ISBLANK(B38),"",VLOOKUP(B38,Entries!$A$4:$C$70,3,FALSE))</f>
        <v>Pitsea RC Mixed</v>
      </c>
      <c r="E38" s="30">
        <f t="shared" si="1"/>
        <v>36</v>
      </c>
      <c r="F38" s="30">
        <f>IF(ISBLANK(B38),"",VLOOKUP(B38,Overall!$B$4:$AR$75,21,FALSE))</f>
        <v>244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30</v>
      </c>
      <c r="J38" s="31" t="s">
        <v>100</v>
      </c>
      <c r="K38" s="30">
        <v>247</v>
      </c>
      <c r="AA38" s="25">
        <v>40</v>
      </c>
      <c r="AB38" s="25">
        <v>30</v>
      </c>
      <c r="AC38" s="25" t="s">
        <v>3</v>
      </c>
      <c r="AD38" s="24" t="s">
        <v>100</v>
      </c>
      <c r="AE38" s="25">
        <v>40</v>
      </c>
      <c r="AF38" s="25">
        <v>247</v>
      </c>
    </row>
    <row r="39" spans="1:32" ht="15">
      <c r="A39" s="30">
        <v>37</v>
      </c>
      <c r="B39" s="30">
        <v>65</v>
      </c>
      <c r="C39" s="30" t="str">
        <f>IF(ISBLANK(B39),"",VLOOKUP(B39,Entries!$A$4:$C$70,2,FALSE))</f>
        <v>L</v>
      </c>
      <c r="D39" s="31" t="str">
        <f>IF(ISBLANK(B39),"",VLOOKUP(B39,Entries!$A$4:$C$70,3,FALSE))</f>
        <v>Benfleet Ladies B</v>
      </c>
      <c r="E39" s="30">
        <f t="shared" si="1"/>
        <v>37</v>
      </c>
      <c r="F39" s="30">
        <f>IF(ISBLANK(B39),"",VLOOKUP(B39,Overall!$B$4:$AR$75,21,FALSE))</f>
        <v>189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15</v>
      </c>
      <c r="J39" s="31" t="s">
        <v>142</v>
      </c>
      <c r="K39" s="30">
        <v>281</v>
      </c>
      <c r="AA39" s="25">
        <v>55</v>
      </c>
      <c r="AB39" s="25">
        <v>15</v>
      </c>
      <c r="AC39" s="25" t="s">
        <v>3</v>
      </c>
      <c r="AD39" s="24" t="s">
        <v>142</v>
      </c>
      <c r="AE39" s="25">
        <v>55</v>
      </c>
      <c r="AF39" s="25">
        <v>281</v>
      </c>
    </row>
    <row r="40" spans="1:32" ht="15">
      <c r="A40" s="30">
        <v>38</v>
      </c>
      <c r="B40" s="30">
        <v>69</v>
      </c>
      <c r="C40" s="30" t="str">
        <f>IF(ISBLANK(B40),"",VLOOKUP(B40,Entries!$A$4:$C$70,2,FALSE))</f>
        <v>L</v>
      </c>
      <c r="D40" s="31" t="str">
        <f>IF(ISBLANK(B40),"",VLOOKUP(B40,Entries!$A$4:$C$70,3,FALSE))</f>
        <v>Southend Ladies</v>
      </c>
      <c r="E40" s="30">
        <f t="shared" si="1"/>
        <v>38</v>
      </c>
      <c r="F40" s="30">
        <f>IF(ISBLANK(B40),"",VLOOKUP(B40,Overall!$B$4:$AR$75,21,FALSE))</f>
        <v>155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11</v>
      </c>
      <c r="J40" s="31" t="s">
        <v>65</v>
      </c>
      <c r="K40" s="30">
        <v>292</v>
      </c>
      <c r="AA40" s="25">
        <v>54</v>
      </c>
      <c r="AB40" s="25">
        <v>11</v>
      </c>
      <c r="AC40" s="25" t="s">
        <v>3</v>
      </c>
      <c r="AD40" s="24" t="s">
        <v>65</v>
      </c>
      <c r="AE40" s="25">
        <v>54</v>
      </c>
      <c r="AF40" s="25">
        <v>292</v>
      </c>
    </row>
    <row r="41" spans="1:32" ht="15">
      <c r="A41" s="30">
        <v>39</v>
      </c>
      <c r="B41" s="30">
        <v>35</v>
      </c>
      <c r="C41" s="30" t="str">
        <f>IF(ISBLANK(B41),"",VLOOKUP(B41,Entries!$A$4:$C$70,2,FALSE))</f>
        <v>A</v>
      </c>
      <c r="D41" s="31" t="str">
        <f>IF(ISBLANK(B41),"",VLOOKUP(B41,Entries!$A$4:$C$70,3,FALSE))</f>
        <v>Leigh on Sea Towels by Poolside</v>
      </c>
      <c r="E41" s="30">
        <f t="shared" si="1"/>
        <v>39</v>
      </c>
      <c r="F41" s="30">
        <f>IF(ISBLANK(B41),"",VLOOKUP(B41,Overall!$B$4:$AR$75,21,FALSE))</f>
        <v>209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39</v>
      </c>
      <c r="J41" s="31" t="s">
        <v>105</v>
      </c>
      <c r="K41" s="30">
        <v>371</v>
      </c>
      <c r="AA41" s="25">
        <v>100</v>
      </c>
      <c r="AB41" s="25">
        <v>39</v>
      </c>
      <c r="AC41" s="25" t="s">
        <v>3</v>
      </c>
      <c r="AD41" s="24" t="s">
        <v>105</v>
      </c>
      <c r="AE41" s="25">
        <v>100</v>
      </c>
      <c r="AF41" s="25">
        <v>371</v>
      </c>
    </row>
    <row r="42" spans="1:32" ht="15">
      <c r="A42" s="30">
        <v>40</v>
      </c>
      <c r="B42" s="30">
        <v>30</v>
      </c>
      <c r="C42" s="30" t="str">
        <f>IF(ISBLANK(B42),"",VLOOKUP(B42,Entries!$A$4:$C$70,2,FALSE))</f>
        <v>A</v>
      </c>
      <c r="D42" s="31" t="str">
        <f>IF(ISBLANK(B42),"",VLOOKUP(B42,Entries!$A$4:$C$70,3,FALSE))</f>
        <v>Witham Running Club</v>
      </c>
      <c r="E42" s="30">
        <f t="shared" si="1"/>
        <v>40</v>
      </c>
      <c r="F42" s="30">
        <f>IF(ISBLANK(B42),"",VLOOKUP(B42,Overall!$B$4:$AR$75,21,FALSE))</f>
        <v>247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4</v>
      </c>
      <c r="J42" s="45" t="s">
        <v>123</v>
      </c>
      <c r="K42" s="44">
        <v>384</v>
      </c>
      <c r="AA42" s="25">
        <v>100</v>
      </c>
      <c r="AB42" s="25">
        <v>4</v>
      </c>
      <c r="AC42" s="25" t="s">
        <v>3</v>
      </c>
      <c r="AD42" s="24" t="s">
        <v>123</v>
      </c>
      <c r="AE42" s="25">
        <v>100</v>
      </c>
      <c r="AF42" s="25">
        <v>384</v>
      </c>
    </row>
    <row r="43" spans="1:32" ht="15">
      <c r="A43" s="30">
        <v>41</v>
      </c>
      <c r="B43" s="30">
        <v>13</v>
      </c>
      <c r="C43" s="30" t="str">
        <f>IF(ISBLANK(B43),"",VLOOKUP(B43,Entries!$A$4:$C$70,2,FALSE))</f>
        <v>A</v>
      </c>
      <c r="D43" s="31" t="str">
        <f>IF(ISBLANK(B43),"",VLOOKUP(B43,Entries!$A$4:$C$70,3,FALSE))</f>
        <v>Mid Essex Casuals B</v>
      </c>
      <c r="E43" s="30">
        <f t="shared" si="1"/>
        <v>41</v>
      </c>
      <c r="F43" s="30">
        <f>IF(ISBLANK(B43),"",VLOOKUP(B43,Overall!$B$4:$AR$75,21,FALSE))</f>
        <v>120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28</v>
      </c>
      <c r="AB43" s="25">
        <v>64</v>
      </c>
      <c r="AC43" s="25" t="s">
        <v>0</v>
      </c>
      <c r="AD43" s="24" t="s">
        <v>191</v>
      </c>
      <c r="AE43" s="25">
        <v>28</v>
      </c>
      <c r="AF43" s="25">
        <v>85</v>
      </c>
    </row>
    <row r="44" spans="1:32" ht="15">
      <c r="A44" s="30">
        <v>42</v>
      </c>
      <c r="B44" s="30">
        <v>27</v>
      </c>
      <c r="C44" s="30" t="str">
        <f>IF(ISBLANK(B44),"",VLOOKUP(B44,Entries!$A$4:$C$70,2,FALSE))</f>
        <v>A</v>
      </c>
      <c r="D44" s="31" t="str">
        <f>IF(ISBLANK(B44),"",VLOOKUP(B44,Entries!$A$4:$C$70,3,FALSE))</f>
        <v>Harwich Runners Mixed</v>
      </c>
      <c r="E44" s="30">
        <f t="shared" si="1"/>
        <v>42</v>
      </c>
      <c r="F44" s="30">
        <f>IF(ISBLANK(B44),"",VLOOKUP(B44,Overall!$B$4:$AR$75,21,FALSE))</f>
        <v>230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30</v>
      </c>
      <c r="AB44" s="25">
        <v>59</v>
      </c>
      <c r="AC44" s="25" t="s">
        <v>0</v>
      </c>
      <c r="AD44" s="24" t="s">
        <v>183</v>
      </c>
      <c r="AE44" s="25">
        <v>30</v>
      </c>
      <c r="AF44" s="25">
        <v>141</v>
      </c>
    </row>
    <row r="45" spans="1:32" ht="15">
      <c r="A45" s="30">
        <v>43</v>
      </c>
      <c r="B45" s="30">
        <v>19</v>
      </c>
      <c r="C45" s="30" t="str">
        <f>IF(ISBLANK(B45),"",VLOOKUP(B45,Entries!$A$4:$C$70,2,FALSE))</f>
        <v>A</v>
      </c>
      <c r="D45" s="31" t="str">
        <f>IF(ISBLANK(B45),"",VLOOKUP(B45,Entries!$A$4:$C$70,3,FALSE))</f>
        <v>Benfleet Men C</v>
      </c>
      <c r="E45" s="30">
        <f t="shared" si="1"/>
        <v>43</v>
      </c>
      <c r="F45" s="30">
        <f>IF(ISBLANK(B45),"",VLOOKUP(B45,Overall!$B$4:$AR$75,21,FALSE))</f>
        <v>146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85</v>
      </c>
      <c r="AA45" s="25">
        <v>23</v>
      </c>
      <c r="AB45" s="25">
        <v>62</v>
      </c>
      <c r="AC45" s="25" t="s">
        <v>0</v>
      </c>
      <c r="AD45" s="24" t="s">
        <v>188</v>
      </c>
      <c r="AE45" s="25">
        <v>23</v>
      </c>
      <c r="AF45" s="25">
        <v>147</v>
      </c>
    </row>
    <row r="46" spans="1:32" ht="15">
      <c r="A46" s="30">
        <v>44</v>
      </c>
      <c r="B46" s="30">
        <v>52</v>
      </c>
      <c r="C46" s="30" t="str">
        <f>IF(ISBLANK(B46),"",VLOOKUP(B46,Entries!$A$4:$C$70,2,FALSE))</f>
        <v>V</v>
      </c>
      <c r="D46" s="31" t="str">
        <f>IF(ISBLANK(B46),"",VLOOKUP(B46,Entries!$A$4:$C$70,3,FALSE))</f>
        <v>TGT Vets</v>
      </c>
      <c r="E46" s="30">
        <f t="shared" si="1"/>
        <v>44</v>
      </c>
      <c r="F46" s="30">
        <f>IF(ISBLANK(B46),"",VLOOKUP(B46,Overall!$B$4:$AR$75,21,FALSE))</f>
        <v>203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59</v>
      </c>
      <c r="J46" s="31" t="s">
        <v>183</v>
      </c>
      <c r="K46" s="30">
        <v>141</v>
      </c>
      <c r="AA46" s="25">
        <v>38</v>
      </c>
      <c r="AB46" s="25">
        <v>69</v>
      </c>
      <c r="AC46" s="25" t="s">
        <v>0</v>
      </c>
      <c r="AD46" s="24" t="s">
        <v>198</v>
      </c>
      <c r="AE46" s="25">
        <v>38</v>
      </c>
      <c r="AF46" s="25">
        <v>155</v>
      </c>
    </row>
    <row r="47" spans="1:32" ht="15">
      <c r="A47" s="30">
        <v>45</v>
      </c>
      <c r="B47" s="30">
        <v>58</v>
      </c>
      <c r="C47" s="30" t="str">
        <f>IF(ISBLANK(B47),"",VLOOKUP(B47,Entries!$A$4:$C$70,2,FALSE))</f>
        <v>L</v>
      </c>
      <c r="D47" s="31" t="str">
        <f>IF(ISBLANK(B47),"",VLOOKUP(B47,Entries!$A$4:$C$70,3,FALSE))</f>
        <v>Springfield Striders Ladies B</v>
      </c>
      <c r="E47" s="30">
        <f t="shared" si="1"/>
        <v>45</v>
      </c>
      <c r="F47" s="30">
        <f>IF(ISBLANK(B47),"",VLOOKUP(B47,Overall!$B$4:$AR$75,21,FALSE))</f>
        <v>199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62</v>
      </c>
      <c r="J47" s="31" t="s">
        <v>188</v>
      </c>
      <c r="K47" s="30">
        <v>147</v>
      </c>
      <c r="AA47" s="25">
        <v>15</v>
      </c>
      <c r="AB47" s="25">
        <v>61</v>
      </c>
      <c r="AC47" s="25" t="s">
        <v>0</v>
      </c>
      <c r="AD47" s="24" t="s">
        <v>187</v>
      </c>
      <c r="AE47" s="25">
        <v>15</v>
      </c>
      <c r="AF47" s="25">
        <v>163</v>
      </c>
    </row>
    <row r="48" spans="1:32" ht="15">
      <c r="A48" s="30">
        <v>46</v>
      </c>
      <c r="B48" s="30">
        <v>12</v>
      </c>
      <c r="C48" s="30" t="str">
        <f>IF(ISBLANK(B48),"",VLOOKUP(B48,Entries!$A$4:$C$70,2,FALSE))</f>
        <v>V</v>
      </c>
      <c r="D48" s="31" t="str">
        <f>IF(ISBLANK(B48),"",VLOOKUP(B48,Entries!$A$4:$C$70,3,FALSE))</f>
        <v>Mid Essex Casuals A</v>
      </c>
      <c r="E48" s="30">
        <f t="shared" si="1"/>
        <v>46</v>
      </c>
      <c r="F48" s="30">
        <f>IF(ISBLANK(B48),"",VLOOKUP(B48,Overall!$B$4:$AR$75,21,FALSE))</f>
        <v>180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69</v>
      </c>
      <c r="J48" s="31" t="s">
        <v>198</v>
      </c>
      <c r="K48" s="30">
        <v>155</v>
      </c>
      <c r="AA48" s="25">
        <v>49</v>
      </c>
      <c r="AB48" s="25">
        <v>66</v>
      </c>
      <c r="AC48" s="25" t="s">
        <v>0</v>
      </c>
      <c r="AD48" s="24" t="s">
        <v>193</v>
      </c>
      <c r="AE48" s="25">
        <v>49</v>
      </c>
      <c r="AF48" s="25">
        <v>165</v>
      </c>
    </row>
    <row r="49" spans="1:32" ht="15">
      <c r="A49" s="30">
        <v>47</v>
      </c>
      <c r="B49" s="30">
        <v>22</v>
      </c>
      <c r="C49" s="30" t="str">
        <f>IF(ISBLANK(B49),"",VLOOKUP(B49,Entries!$A$4:$C$70,2,FALSE))</f>
        <v>A</v>
      </c>
      <c r="D49" s="31" t="str">
        <f>IF(ISBLANK(B49),"",VLOOKUP(B49,Entries!$A$4:$C$70,3,FALSE))</f>
        <v>TGT Men B</v>
      </c>
      <c r="E49" s="30">
        <f t="shared" si="1"/>
        <v>47</v>
      </c>
      <c r="F49" s="30">
        <f>IF(ISBLANK(B49),"",VLOOKUP(B49,Overall!$B$4:$AR$75,21,FALSE))</f>
        <v>173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61</v>
      </c>
      <c r="J49" s="31" t="s">
        <v>187</v>
      </c>
      <c r="K49" s="30">
        <v>163</v>
      </c>
      <c r="AA49" s="25">
        <v>31</v>
      </c>
      <c r="AB49" s="25">
        <v>57</v>
      </c>
      <c r="AC49" s="25" t="s">
        <v>0</v>
      </c>
      <c r="AD49" s="24" t="s">
        <v>181</v>
      </c>
      <c r="AE49" s="25">
        <v>31</v>
      </c>
      <c r="AF49" s="25">
        <v>167</v>
      </c>
    </row>
    <row r="50" spans="1:32" ht="15">
      <c r="A50" s="30">
        <v>48</v>
      </c>
      <c r="B50" s="30">
        <v>67</v>
      </c>
      <c r="C50" s="30" t="str">
        <f>IF(ISBLANK(B50),"",VLOOKUP(B50,Entries!$A$4:$C$70,2,FALSE))</f>
        <v>L</v>
      </c>
      <c r="D50" s="31" t="str">
        <f>IF(ISBLANK(B50),"",VLOOKUP(B50,Entries!$A$4:$C$70,3,FALSE))</f>
        <v>TGT Ladies B</v>
      </c>
      <c r="E50" s="30">
        <f t="shared" si="1"/>
        <v>48</v>
      </c>
      <c r="F50" s="30">
        <f>IF(ISBLANK(B50),"",VLOOKUP(B50,Overall!$B$4:$AR$75,21,FALSE))</f>
        <v>286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66</v>
      </c>
      <c r="J50" s="31" t="s">
        <v>193</v>
      </c>
      <c r="K50" s="30">
        <v>165</v>
      </c>
      <c r="AA50" s="25">
        <v>7</v>
      </c>
      <c r="AB50" s="25">
        <v>70</v>
      </c>
      <c r="AC50" s="25" t="s">
        <v>0</v>
      </c>
      <c r="AD50" s="24" t="s">
        <v>199</v>
      </c>
      <c r="AE50" s="25">
        <v>7</v>
      </c>
      <c r="AF50" s="25">
        <v>185</v>
      </c>
    </row>
    <row r="51" spans="1:32" ht="15">
      <c r="A51" s="30">
        <v>49</v>
      </c>
      <c r="B51" s="30">
        <v>66</v>
      </c>
      <c r="C51" s="30" t="str">
        <f>IF(ISBLANK(B51),"",VLOOKUP(B51,Entries!$A$4:$C$70,2,FALSE))</f>
        <v>L</v>
      </c>
      <c r="D51" s="31" t="str">
        <f>IF(ISBLANK(B51),"",VLOOKUP(B51,Entries!$A$4:$C$70,3,FALSE))</f>
        <v>TGT Ladies A</v>
      </c>
      <c r="E51" s="30">
        <f t="shared" si="1"/>
        <v>49</v>
      </c>
      <c r="F51" s="30">
        <f>IF(ISBLANK(B51),"",VLOOKUP(B51,Overall!$B$4:$AR$75,21,FALSE))</f>
        <v>165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57</v>
      </c>
      <c r="J51" s="31" t="s">
        <v>181</v>
      </c>
      <c r="K51" s="30">
        <v>167</v>
      </c>
      <c r="AA51" s="25">
        <v>37</v>
      </c>
      <c r="AB51" s="25">
        <v>65</v>
      </c>
      <c r="AC51" s="25" t="s">
        <v>0</v>
      </c>
      <c r="AD51" s="24" t="s">
        <v>192</v>
      </c>
      <c r="AE51" s="25">
        <v>37</v>
      </c>
      <c r="AF51" s="25">
        <v>189</v>
      </c>
    </row>
    <row r="52" spans="1:32" ht="15">
      <c r="A52" s="30">
        <v>50</v>
      </c>
      <c r="B52" s="30">
        <v>60</v>
      </c>
      <c r="C52" s="30" t="str">
        <f>IF(ISBLANK(B52),"",VLOOKUP(B52,Entries!$A$4:$C$70,2,FALSE))</f>
        <v>L</v>
      </c>
      <c r="D52" s="31" t="str">
        <f>IF(ISBLANK(B52),"",VLOOKUP(B52,Entries!$A$4:$C$70,3,FALSE))</f>
        <v>Tiptree Ladies</v>
      </c>
      <c r="E52" s="30">
        <f t="shared" si="1"/>
        <v>50</v>
      </c>
      <c r="F52" s="30">
        <f>IF(ISBLANK(B52),"",VLOOKUP(B52,Overall!$B$4:$AR$75,21,FALSE))</f>
        <v>228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70</v>
      </c>
      <c r="J52" s="31" t="s">
        <v>199</v>
      </c>
      <c r="K52" s="30">
        <v>185</v>
      </c>
      <c r="AA52" s="25">
        <v>45</v>
      </c>
      <c r="AB52" s="25">
        <v>58</v>
      </c>
      <c r="AC52" s="25" t="s">
        <v>0</v>
      </c>
      <c r="AD52" s="24" t="s">
        <v>182</v>
      </c>
      <c r="AE52" s="25">
        <v>45</v>
      </c>
      <c r="AF52" s="25">
        <v>199</v>
      </c>
    </row>
    <row r="53" spans="1:32" ht="15">
      <c r="A53" s="30">
        <v>51</v>
      </c>
      <c r="B53" s="30">
        <v>34</v>
      </c>
      <c r="C53" s="30" t="str">
        <f>IF(ISBLANK(B53),"",VLOOKUP(B53,Entries!$A$4:$C$70,2,FALSE))</f>
        <v>A</v>
      </c>
      <c r="D53" s="31" t="str">
        <f>IF(ISBLANK(B53),"",VLOOKUP(B53,Entries!$A$4:$C$70,3,FALSE))</f>
        <v>Grange Farm C</v>
      </c>
      <c r="E53" s="30">
        <f t="shared" si="1"/>
        <v>51</v>
      </c>
      <c r="F53" s="30">
        <f>IF(ISBLANK(B53),"",VLOOKUP(B53,Overall!$B$4:$AR$75,21,FALSE))</f>
        <v>168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65</v>
      </c>
      <c r="J53" s="31" t="s">
        <v>192</v>
      </c>
      <c r="K53" s="30">
        <v>189</v>
      </c>
      <c r="AA53" s="25">
        <v>35</v>
      </c>
      <c r="AB53" s="25">
        <v>68</v>
      </c>
      <c r="AC53" s="25" t="s">
        <v>0</v>
      </c>
      <c r="AD53" s="24" t="s">
        <v>197</v>
      </c>
      <c r="AE53" s="25">
        <v>35</v>
      </c>
      <c r="AF53" s="25">
        <v>225</v>
      </c>
    </row>
    <row r="54" spans="1:32" ht="15">
      <c r="A54" s="30">
        <v>52</v>
      </c>
      <c r="B54" s="30">
        <v>20</v>
      </c>
      <c r="C54" s="30" t="str">
        <f>IF(ISBLANK(B54),"",VLOOKUP(B54,Entries!$A$4:$C$70,2,FALSE))</f>
        <v>A</v>
      </c>
      <c r="D54" s="31" t="str">
        <f>IF(ISBLANK(B54),"",VLOOKUP(B54,Entries!$A$4:$C$70,3,FALSE))</f>
        <v>BSRC</v>
      </c>
      <c r="E54" s="30">
        <f t="shared" si="1"/>
        <v>52</v>
      </c>
      <c r="F54" s="30">
        <f>IF(ISBLANK(B54),"",VLOOKUP(B54,Overall!$B$4:$AR$75,21,FALSE))</f>
        <v>211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58</v>
      </c>
      <c r="J54" s="31" t="s">
        <v>182</v>
      </c>
      <c r="K54" s="30">
        <v>199</v>
      </c>
      <c r="AA54" s="25">
        <v>50</v>
      </c>
      <c r="AB54" s="25">
        <v>60</v>
      </c>
      <c r="AC54" s="25" t="s">
        <v>0</v>
      </c>
      <c r="AD54" s="24" t="s">
        <v>184</v>
      </c>
      <c r="AE54" s="25">
        <v>50</v>
      </c>
      <c r="AF54" s="25">
        <v>228</v>
      </c>
    </row>
    <row r="55" spans="1:32" ht="15">
      <c r="A55" s="30">
        <v>53</v>
      </c>
      <c r="B55" s="30">
        <v>63</v>
      </c>
      <c r="C55" s="44" t="str">
        <f>IF(ISBLANK(B55),"",VLOOKUP(B55,Entries!$A$4:$C$70,2,FALSE))</f>
        <v>L</v>
      </c>
      <c r="D55" s="45" t="str">
        <f>IF(ISBLANK(B55),"",VLOOKUP(B55,Entries!$A$4:$C$70,3,FALSE))</f>
        <v>Billericay Striders</v>
      </c>
      <c r="E55" s="44">
        <f t="shared" si="1"/>
        <v>53</v>
      </c>
      <c r="F55" s="44">
        <f>IF(ISBLANK(B55),"",VLOOKUP(B55,Overall!$B$4:$AR$75,21,FALSE))</f>
        <v>297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68</v>
      </c>
      <c r="J55" s="31" t="s">
        <v>197</v>
      </c>
      <c r="K55" s="30">
        <v>225</v>
      </c>
      <c r="AA55" s="25">
        <v>48</v>
      </c>
      <c r="AB55" s="25">
        <v>67</v>
      </c>
      <c r="AC55" s="25" t="s">
        <v>0</v>
      </c>
      <c r="AD55" s="24" t="s">
        <v>196</v>
      </c>
      <c r="AE55" s="25">
        <v>48</v>
      </c>
      <c r="AF55" s="25">
        <v>286</v>
      </c>
    </row>
    <row r="56" spans="1:32" ht="15">
      <c r="A56" s="30">
        <v>54</v>
      </c>
      <c r="B56" s="30">
        <v>11</v>
      </c>
      <c r="C56" s="44" t="str">
        <f>IF(ISBLANK(B56),"",VLOOKUP(B56,Entries!$A$4:$C$70,2,FALSE))</f>
        <v>A</v>
      </c>
      <c r="D56" s="45" t="str">
        <f>IF(ISBLANK(B56),"",VLOOKUP(B56,Entries!$A$4:$C$70,3,FALSE))</f>
        <v>Billericay Striders</v>
      </c>
      <c r="E56" s="44">
        <f aca="true" t="shared" si="2" ref="E56:E61">IF(ISBLANK(B56),"",A56)</f>
        <v>54</v>
      </c>
      <c r="F56" s="44">
        <f>IF(ISBLANK(B56),"",VLOOKUP(B56,Overall!$B$4:$AR$75,21,FALSE))</f>
        <v>292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60</v>
      </c>
      <c r="J56" s="31" t="s">
        <v>184</v>
      </c>
      <c r="K56" s="30">
        <v>228</v>
      </c>
      <c r="AA56" s="25">
        <v>53</v>
      </c>
      <c r="AB56" s="25">
        <v>63</v>
      </c>
      <c r="AC56" s="25" t="s">
        <v>0</v>
      </c>
      <c r="AD56" s="24" t="s">
        <v>65</v>
      </c>
      <c r="AE56" s="25">
        <v>53</v>
      </c>
      <c r="AF56" s="25">
        <v>297</v>
      </c>
    </row>
    <row r="57" spans="1:32" ht="15">
      <c r="A57" s="30">
        <v>55</v>
      </c>
      <c r="B57" s="30">
        <v>15</v>
      </c>
      <c r="C57" s="44" t="str">
        <f>IF(ISBLANK(B57),"",VLOOKUP(B57,Entries!$A$4:$C$70,2,FALSE))</f>
        <v>A</v>
      </c>
      <c r="D57" s="45" t="str">
        <f>IF(ISBLANK(B57),"",VLOOKUP(B57,Entries!$A$4:$C$70,3,FALSE))</f>
        <v>Havering 90 A</v>
      </c>
      <c r="E57" s="44">
        <f t="shared" si="2"/>
        <v>55</v>
      </c>
      <c r="F57" s="44">
        <f>IF(ISBLANK(B57),"",VLOOKUP(B57,Overall!$B$4:$AR$75,21,FALSE))</f>
        <v>281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67</v>
      </c>
      <c r="J57" s="31" t="s">
        <v>196</v>
      </c>
      <c r="K57" s="30">
        <v>286</v>
      </c>
      <c r="AA57" s="25">
        <v>6</v>
      </c>
      <c r="AB57" s="25">
        <v>50</v>
      </c>
      <c r="AC57" s="25" t="s">
        <v>2</v>
      </c>
      <c r="AD57" s="24" t="s">
        <v>44</v>
      </c>
      <c r="AE57" s="25">
        <v>6</v>
      </c>
      <c r="AF57" s="25">
        <v>72</v>
      </c>
    </row>
    <row r="58" spans="1:32" ht="15">
      <c r="A58" s="30">
        <v>56</v>
      </c>
      <c r="B58" s="30">
        <v>16</v>
      </c>
      <c r="C58" s="44" t="str">
        <f>IF(ISBLANK(B58),"",VLOOKUP(B58,Entries!$A$4:$C$70,2,FALSE))</f>
        <v>A</v>
      </c>
      <c r="D58" s="45" t="str">
        <f>IF(ISBLANK(B58),"",VLOOKUP(B58,Entries!$A$4:$C$70,3,FALSE))</f>
        <v>Havering 90 B</v>
      </c>
      <c r="E58" s="44">
        <f t="shared" si="2"/>
        <v>56</v>
      </c>
      <c r="F58" s="44">
        <f>IF(ISBLANK(B58),"",VLOOKUP(B58,Overall!$B$4:$AR$75,21,FALSE))</f>
        <v>239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63</v>
      </c>
      <c r="J58" s="45" t="s">
        <v>65</v>
      </c>
      <c r="K58" s="44">
        <v>297</v>
      </c>
      <c r="AA58" s="25">
        <v>21</v>
      </c>
      <c r="AB58" s="25">
        <v>53</v>
      </c>
      <c r="AC58" s="25" t="s">
        <v>2</v>
      </c>
      <c r="AD58" s="24" t="s">
        <v>87</v>
      </c>
      <c r="AE58" s="25">
        <v>21</v>
      </c>
      <c r="AF58" s="25">
        <v>93</v>
      </c>
    </row>
    <row r="59" spans="1:32" ht="15">
      <c r="A59" s="30">
        <v>57</v>
      </c>
      <c r="B59" s="30">
        <v>3</v>
      </c>
      <c r="C59" s="44" t="str">
        <f>IF(ISBLANK(B59),"",VLOOKUP(B59,Entries!$A$4:$C$70,2,FALSE))</f>
        <v>A</v>
      </c>
      <c r="D59" s="45" t="str">
        <f>IF(ISBLANK(B59),"",VLOOKUP(B59,Entries!$A$4:$C$70,3,FALSE))</f>
        <v>Tiptree A</v>
      </c>
      <c r="E59" s="44">
        <f t="shared" si="2"/>
        <v>57</v>
      </c>
      <c r="F59" s="44">
        <f>IF(ISBLANK(B59),"",VLOOKUP(B59,Overall!$B$4:$AR$75,21,FALSE))</f>
        <v>234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9</v>
      </c>
      <c r="AB59" s="25">
        <v>51</v>
      </c>
      <c r="AC59" s="25" t="s">
        <v>2</v>
      </c>
      <c r="AD59" s="24" t="s">
        <v>178</v>
      </c>
      <c r="AE59" s="25">
        <v>9</v>
      </c>
      <c r="AF59" s="25">
        <v>149</v>
      </c>
    </row>
    <row r="60" spans="1:32" ht="15">
      <c r="A60" s="30">
        <v>100</v>
      </c>
      <c r="B60" s="30">
        <v>39</v>
      </c>
      <c r="C60" s="44" t="str">
        <f>IF(ISBLANK(B60),"",VLOOKUP(B60,Entries!$A$4:$C$70,2,FALSE))</f>
        <v>A</v>
      </c>
      <c r="D60" s="45" t="str">
        <f>IF(ISBLANK(B60),"",VLOOKUP(B60,Entries!$A$4:$C$70,3,FALSE))</f>
        <v>Springfield Striders Mixed D</v>
      </c>
      <c r="E60" s="44">
        <f t="shared" si="2"/>
        <v>100</v>
      </c>
      <c r="F60" s="44">
        <f>IF(ISBLANK(B60),"",VLOOKUP(B60,Overall!$B$4:$AR$75,21,FALSE))</f>
        <v>371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8"/>
      <c r="J60" s="47"/>
      <c r="K60" s="48" t="s">
        <v>73</v>
      </c>
      <c r="AA60" s="25">
        <v>46</v>
      </c>
      <c r="AB60" s="25">
        <v>12</v>
      </c>
      <c r="AC60" s="25" t="s">
        <v>2</v>
      </c>
      <c r="AD60" s="24" t="s">
        <v>84</v>
      </c>
      <c r="AE60" s="25">
        <v>46</v>
      </c>
      <c r="AF60" s="25">
        <v>180</v>
      </c>
    </row>
    <row r="61" spans="1:32" ht="15">
      <c r="A61" s="30">
        <v>100</v>
      </c>
      <c r="B61" s="30">
        <v>4</v>
      </c>
      <c r="C61" s="30" t="str">
        <f>IF(ISBLANK(B61),"",VLOOKUP(B61,Entries!$A$4:$C$70,2,FALSE))</f>
        <v>A</v>
      </c>
      <c r="D61" s="31" t="str">
        <f>IF(ISBLANK(B61),"",VLOOKUP(B61,Entries!$A$4:$C$70,3,FALSE))</f>
        <v>Tiptree B</v>
      </c>
      <c r="E61" s="30">
        <f t="shared" si="2"/>
        <v>100</v>
      </c>
      <c r="F61" s="30">
        <f>IF(ISBLANK(B61),"",VLOOKUP(B61,Overall!$B$4:$AR$75,21,FALSE))</f>
        <v>384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72</v>
      </c>
      <c r="AA61" s="25">
        <v>44</v>
      </c>
      <c r="AB61" s="25">
        <v>52</v>
      </c>
      <c r="AC61" s="25" t="s">
        <v>2</v>
      </c>
      <c r="AD61" s="24" t="s">
        <v>179</v>
      </c>
      <c r="AE61" s="25">
        <v>44</v>
      </c>
      <c r="AF61" s="25">
        <v>203</v>
      </c>
    </row>
    <row r="62" spans="8:11" ht="15">
      <c r="H62" s="30">
        <v>2</v>
      </c>
      <c r="I62" s="30">
        <v>53</v>
      </c>
      <c r="J62" s="31" t="s">
        <v>87</v>
      </c>
      <c r="K62" s="30">
        <v>93</v>
      </c>
    </row>
    <row r="63" spans="8:11" ht="15">
      <c r="H63" s="30">
        <v>3</v>
      </c>
      <c r="I63" s="30">
        <v>51</v>
      </c>
      <c r="J63" s="31" t="s">
        <v>178</v>
      </c>
      <c r="K63" s="30">
        <v>149</v>
      </c>
    </row>
    <row r="64" spans="8:11" ht="15">
      <c r="H64" s="30">
        <v>4</v>
      </c>
      <c r="I64" s="30">
        <v>12</v>
      </c>
      <c r="J64" s="31" t="s">
        <v>84</v>
      </c>
      <c r="K64" s="30">
        <v>180</v>
      </c>
    </row>
    <row r="65" spans="8:11" ht="15">
      <c r="H65" s="30">
        <v>5</v>
      </c>
      <c r="I65" s="30">
        <v>52</v>
      </c>
      <c r="J65" s="31" t="s">
        <v>179</v>
      </c>
      <c r="K65" s="30">
        <v>203</v>
      </c>
    </row>
    <row r="66" spans="8:11" ht="15">
      <c r="H66" s="36"/>
      <c r="I66" s="36"/>
      <c r="J66" s="35"/>
      <c r="K66" s="36"/>
    </row>
    <row r="67" spans="8:11" ht="15">
      <c r="H67" s="36"/>
      <c r="I67" s="36"/>
      <c r="J67" s="35"/>
      <c r="K67" s="36"/>
    </row>
    <row r="68" spans="8:11" ht="15">
      <c r="H68" s="36"/>
      <c r="I68" s="36"/>
      <c r="J68" s="35"/>
      <c r="K68" s="36"/>
    </row>
    <row r="69" spans="8:11" ht="15">
      <c r="H69" s="36"/>
      <c r="I69" s="36"/>
      <c r="J69" s="35"/>
      <c r="K69" s="36"/>
    </row>
    <row r="70" spans="8:11" ht="15">
      <c r="H70" s="36"/>
      <c r="I70" s="36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F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8" width="6.140625" style="25" customWidth="1"/>
    <col min="9" max="9" width="6.140625" style="24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6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7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23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32">IF(ISBLANK(B3),"",A3)</f>
        <v>1</v>
      </c>
      <c r="F3" s="30">
        <f>IF(ISBLANK(B3),"",VLOOKUP(B3,Overall!$B$4:$AR$75,25,FALSE))</f>
        <v>13</v>
      </c>
      <c r="H3" s="30">
        <v>1</v>
      </c>
      <c r="I3" s="30">
        <v>23</v>
      </c>
      <c r="J3" s="31" t="s">
        <v>81</v>
      </c>
      <c r="K3" s="30">
        <v>13</v>
      </c>
      <c r="AA3" s="25">
        <v>1</v>
      </c>
      <c r="AB3" s="25">
        <v>23</v>
      </c>
      <c r="AC3" s="25" t="s">
        <v>3</v>
      </c>
      <c r="AD3" s="24" t="s">
        <v>81</v>
      </c>
      <c r="AE3" s="25">
        <v>1</v>
      </c>
      <c r="AF3" s="25">
        <v>13</v>
      </c>
    </row>
    <row r="4" spans="1:32" ht="15">
      <c r="A4" s="30">
        <v>2</v>
      </c>
      <c r="B4" s="30">
        <v>26</v>
      </c>
      <c r="C4" s="30" t="str">
        <f>IF(ISBLANK(B4),"",VLOOKUP(B4,Entries!$A$4:$C$70,2,FALSE))</f>
        <v>A</v>
      </c>
      <c r="D4" s="31" t="str">
        <f>IF(ISBLANK(B4),"",VLOOKUP(B4,Entries!$A$4:$C$70,3,FALSE))</f>
        <v>Harwich Runners Men</v>
      </c>
      <c r="E4" s="30">
        <f t="shared" si="0"/>
        <v>2</v>
      </c>
      <c r="F4" s="30">
        <f>IF(ISBLANK(B4),"",VLOOKUP(B4,Overall!$B$4:$AR$75,25,FALSE))</f>
        <v>95</v>
      </c>
      <c r="G4" s="25">
        <f>IF(ISBLANK($B3),"",IF($B4=$B3,"*",""))</f>
      </c>
      <c r="H4" s="30">
        <v>2</v>
      </c>
      <c r="I4" s="30">
        <v>28</v>
      </c>
      <c r="J4" s="31" t="s">
        <v>91</v>
      </c>
      <c r="K4" s="30">
        <v>31</v>
      </c>
      <c r="AA4" s="25">
        <v>6</v>
      </c>
      <c r="AB4" s="25">
        <v>28</v>
      </c>
      <c r="AC4" s="25" t="s">
        <v>3</v>
      </c>
      <c r="AD4" s="24" t="s">
        <v>91</v>
      </c>
      <c r="AE4" s="25">
        <v>6</v>
      </c>
      <c r="AF4" s="25">
        <v>31</v>
      </c>
    </row>
    <row r="5" spans="1:32" ht="15">
      <c r="A5" s="30">
        <v>3</v>
      </c>
      <c r="B5" s="30">
        <v>31</v>
      </c>
      <c r="C5" s="30" t="str">
        <f>IF(ISBLANK(B5),"",VLOOKUP(B5,Entries!$A$4:$C$70,2,FALSE))</f>
        <v>A</v>
      </c>
      <c r="D5" s="31" t="str">
        <f>IF(ISBLANK(B5),"",VLOOKUP(B5,Entries!$A$4:$C$70,3,FALSE))</f>
        <v>Springfield Striders Men B</v>
      </c>
      <c r="E5" s="30">
        <f t="shared" si="0"/>
        <v>3</v>
      </c>
      <c r="F5" s="30">
        <f>IF(ISBLANK(B5),"",VLOOKUP(B5,Overall!$B$4:$AR$75,25,FALSE))</f>
        <v>39</v>
      </c>
      <c r="G5" s="25">
        <f>IF(ISBLANK($B4),"",IF(OR($B5=$B4,$B5=$B3),"*",""))</f>
      </c>
      <c r="H5" s="30">
        <v>3</v>
      </c>
      <c r="I5" s="30">
        <v>17</v>
      </c>
      <c r="J5" s="31" t="s">
        <v>107</v>
      </c>
      <c r="K5" s="30">
        <v>35</v>
      </c>
      <c r="AA5" s="25">
        <v>12</v>
      </c>
      <c r="AB5" s="25">
        <v>17</v>
      </c>
      <c r="AC5" s="25" t="s">
        <v>3</v>
      </c>
      <c r="AD5" s="24" t="s">
        <v>107</v>
      </c>
      <c r="AE5" s="25">
        <v>12</v>
      </c>
      <c r="AF5" s="25">
        <v>35</v>
      </c>
    </row>
    <row r="6" spans="1:32" ht="15">
      <c r="A6" s="30">
        <v>4</v>
      </c>
      <c r="B6" s="30">
        <v>21</v>
      </c>
      <c r="C6" s="30" t="str">
        <f>IF(ISBLANK(B6),"",VLOOKUP(B6,Entries!$A$4:$C$70,2,FALSE))</f>
        <v>A</v>
      </c>
      <c r="D6" s="31" t="str">
        <f>IF(ISBLANK(B6),"",VLOOKUP(B6,Entries!$A$4:$C$70,3,FALSE))</f>
        <v>TGT Men A</v>
      </c>
      <c r="E6" s="30">
        <f t="shared" si="0"/>
        <v>4</v>
      </c>
      <c r="F6" s="30">
        <f>IF(ISBLANK(B6),"",VLOOKUP(B6,Overall!$B$4:$AR$75,25,FALSE))</f>
        <v>47</v>
      </c>
      <c r="G6" s="25">
        <f>IF(ISBLANK($B5),"",IF(OR($B6=$B5,$B6=$B4,$B6=$B3),"*",""))</f>
      </c>
      <c r="H6" s="30">
        <v>4</v>
      </c>
      <c r="I6" s="30">
        <v>31</v>
      </c>
      <c r="J6" s="31" t="s">
        <v>101</v>
      </c>
      <c r="K6" s="30">
        <v>39</v>
      </c>
      <c r="AA6" s="25">
        <v>3</v>
      </c>
      <c r="AB6" s="25">
        <v>31</v>
      </c>
      <c r="AC6" s="25" t="s">
        <v>3</v>
      </c>
      <c r="AD6" s="24" t="s">
        <v>101</v>
      </c>
      <c r="AE6" s="25">
        <v>3</v>
      </c>
      <c r="AF6" s="25">
        <v>39</v>
      </c>
    </row>
    <row r="7" spans="1:32" ht="15">
      <c r="A7" s="30">
        <v>5</v>
      </c>
      <c r="B7" s="30">
        <v>10</v>
      </c>
      <c r="C7" s="30" t="str">
        <f>IF(ISBLANK(B7),"",VLOOKUP(B7,Entries!$A$4:$C$70,2,FALSE))</f>
        <v>A</v>
      </c>
      <c r="D7" s="31" t="str">
        <f>IF(ISBLANK(B7),"",VLOOKUP(B7,Entries!$A$4:$C$70,3,FALSE))</f>
        <v>Colchester Harriers - Colchester Allsorts</v>
      </c>
      <c r="E7" s="30">
        <f t="shared" si="0"/>
        <v>5</v>
      </c>
      <c r="F7" s="30">
        <f>IF(ISBLANK(B7),"",VLOOKUP(B7,Overall!$B$4:$AR$75,25,FALSE))</f>
        <v>137</v>
      </c>
      <c r="G7" s="25">
        <f>IF(ISBLANK($B6),"",IF(OR($B7=$B6,$B7=$B5,$B7=$B4,$B7=$B3),"*",""))</f>
      </c>
      <c r="H7" s="30">
        <v>5</v>
      </c>
      <c r="I7" s="30">
        <v>9</v>
      </c>
      <c r="J7" s="31" t="s">
        <v>135</v>
      </c>
      <c r="K7" s="30">
        <v>39</v>
      </c>
      <c r="AA7" s="25">
        <v>9</v>
      </c>
      <c r="AB7" s="25">
        <v>9</v>
      </c>
      <c r="AC7" s="25" t="s">
        <v>3</v>
      </c>
      <c r="AD7" s="24" t="s">
        <v>135</v>
      </c>
      <c r="AE7" s="25">
        <v>9</v>
      </c>
      <c r="AF7" s="25">
        <v>39</v>
      </c>
    </row>
    <row r="8" spans="1:32" ht="15">
      <c r="A8" s="30">
        <v>6</v>
      </c>
      <c r="B8" s="30">
        <v>28</v>
      </c>
      <c r="C8" s="30" t="str">
        <f>IF(ISBLANK(B8),"",VLOOKUP(B8,Entries!$A$4:$C$70,2,FALSE))</f>
        <v>A</v>
      </c>
      <c r="D8" s="31" t="str">
        <f>IF(ISBLANK(B8),"",VLOOKUP(B8,Entries!$A$4:$C$70,3,FALSE))</f>
        <v>Ilford A</v>
      </c>
      <c r="E8" s="30">
        <f t="shared" si="0"/>
        <v>6</v>
      </c>
      <c r="F8" s="30">
        <f>IF(ISBLANK(B8),"",VLOOKUP(B8,Overall!$B$4:$AR$75,25,FALSE))</f>
        <v>31</v>
      </c>
      <c r="G8" s="25">
        <f>IF(ISBLANK($B7),"",IF(OR($B8=$B7,$B8=$B6,$B8=$B5,$B8=$B4,$B8=$B3),"*",""))</f>
      </c>
      <c r="H8" s="30">
        <v>6</v>
      </c>
      <c r="I8" s="30">
        <v>21</v>
      </c>
      <c r="J8" s="31" t="s">
        <v>149</v>
      </c>
      <c r="K8" s="30">
        <v>47</v>
      </c>
      <c r="AA8" s="25">
        <v>4</v>
      </c>
      <c r="AB8" s="25">
        <v>21</v>
      </c>
      <c r="AC8" s="25" t="s">
        <v>3</v>
      </c>
      <c r="AD8" s="24" t="s">
        <v>149</v>
      </c>
      <c r="AE8" s="25">
        <v>4</v>
      </c>
      <c r="AF8" s="25">
        <v>47</v>
      </c>
    </row>
    <row r="9" spans="1:32" ht="15">
      <c r="A9" s="30">
        <v>7</v>
      </c>
      <c r="B9" s="30">
        <v>12</v>
      </c>
      <c r="C9" s="30" t="str">
        <f>IF(ISBLANK(B9),"",VLOOKUP(B9,Entries!$A$4:$C$70,2,FALSE))</f>
        <v>V</v>
      </c>
      <c r="D9" s="31" t="str">
        <f>IF(ISBLANK(B9),"",VLOOKUP(B9,Entries!$A$4:$C$70,3,FALSE))</f>
        <v>Mid Essex Casuals A</v>
      </c>
      <c r="E9" s="30">
        <f t="shared" si="0"/>
        <v>7</v>
      </c>
      <c r="F9" s="30">
        <f>IF(ISBLANK(B9),"",VLOOKUP(B9,Overall!$B$4:$AR$75,25,FALSE))</f>
        <v>187</v>
      </c>
      <c r="G9" s="25">
        <f>IF(ISBLANK($B8),"",IF(OR($B9=$B8,$B9=$B7,$B9=$B6,$B9=$B5,$B9=$B4,$B9=$B3),"*",""))</f>
      </c>
      <c r="H9" s="30">
        <v>7</v>
      </c>
      <c r="I9" s="30">
        <v>32</v>
      </c>
      <c r="J9" s="31" t="s">
        <v>163</v>
      </c>
      <c r="K9" s="30">
        <v>54</v>
      </c>
      <c r="AA9" s="25">
        <v>13</v>
      </c>
      <c r="AB9" s="25">
        <v>32</v>
      </c>
      <c r="AC9" s="25" t="s">
        <v>3</v>
      </c>
      <c r="AD9" s="24" t="s">
        <v>163</v>
      </c>
      <c r="AE9" s="25">
        <v>13</v>
      </c>
      <c r="AF9" s="25">
        <v>54</v>
      </c>
    </row>
    <row r="10" spans="1:32" ht="15">
      <c r="A10" s="30">
        <v>8</v>
      </c>
      <c r="B10" s="30">
        <v>18</v>
      </c>
      <c r="C10" s="30" t="str">
        <f>IF(ISBLANK(B10),"",VLOOKUP(B10,Entries!$A$4:$C$70,2,FALSE))</f>
        <v>A</v>
      </c>
      <c r="D10" s="31" t="str">
        <f>IF(ISBLANK(B10),"",VLOOKUP(B10,Entries!$A$4:$C$70,3,FALSE))</f>
        <v>Benfleet Men B</v>
      </c>
      <c r="E10" s="30">
        <f t="shared" si="0"/>
        <v>8</v>
      </c>
      <c r="F10" s="30">
        <f>IF(ISBLANK(B10),"",VLOOKUP(B10,Overall!$B$4:$AR$75,25,FALSE))</f>
        <v>75</v>
      </c>
      <c r="G10" s="25">
        <f>IF(ISBLANK($B9),"",IF(OR($B10=$B9,$B10=$B8,$B10=$B7,$B10=$B6,$B10=$B5,$B10=$B4,$B10=$B3),"*",""))</f>
      </c>
      <c r="H10" s="30">
        <v>8</v>
      </c>
      <c r="I10" s="30">
        <v>24</v>
      </c>
      <c r="J10" s="31" t="s">
        <v>157</v>
      </c>
      <c r="K10" s="30">
        <v>63</v>
      </c>
      <c r="AA10" s="25">
        <v>18</v>
      </c>
      <c r="AB10" s="25">
        <v>24</v>
      </c>
      <c r="AC10" s="25" t="s">
        <v>3</v>
      </c>
      <c r="AD10" s="24" t="s">
        <v>157</v>
      </c>
      <c r="AE10" s="25">
        <v>18</v>
      </c>
      <c r="AF10" s="25">
        <v>63</v>
      </c>
    </row>
    <row r="11" spans="1:32" ht="15">
      <c r="A11" s="30">
        <v>9</v>
      </c>
      <c r="B11" s="30">
        <v>9</v>
      </c>
      <c r="C11" s="30" t="str">
        <f>IF(ISBLANK(B11),"",VLOOKUP(B11,Entries!$A$4:$C$70,2,FALSE))</f>
        <v>A</v>
      </c>
      <c r="D11" s="31" t="str">
        <f>IF(ISBLANK(B11),"",VLOOKUP(B11,Entries!$A$4:$C$70,3,FALSE))</f>
        <v>Leigh on Sea Striders - I liked the Boys</v>
      </c>
      <c r="E11" s="30">
        <f t="shared" si="0"/>
        <v>9</v>
      </c>
      <c r="F11" s="30">
        <f>IF(ISBLANK(B11),"",VLOOKUP(B11,Overall!$B$4:$AR$75,25,FALSE))</f>
        <v>39</v>
      </c>
      <c r="G11" s="25">
        <f>IF(ISBLANK($B10),"",IF(OR($B11=$B10,$B11=$B9,$B11=$B8,$B11=$B7,$B11=$B6,$B11=$B5,$B11=$B4,$B11=$B3),"*",""))</f>
      </c>
      <c r="H11" s="30">
        <v>9</v>
      </c>
      <c r="I11" s="30">
        <v>5</v>
      </c>
      <c r="J11" s="31" t="s">
        <v>124</v>
      </c>
      <c r="K11" s="30">
        <v>67</v>
      </c>
      <c r="AA11" s="25">
        <v>11</v>
      </c>
      <c r="AB11" s="25">
        <v>5</v>
      </c>
      <c r="AC11" s="25" t="s">
        <v>3</v>
      </c>
      <c r="AD11" s="24" t="s">
        <v>124</v>
      </c>
      <c r="AE11" s="25">
        <v>11</v>
      </c>
      <c r="AF11" s="25">
        <v>67</v>
      </c>
    </row>
    <row r="12" spans="1:32" ht="15">
      <c r="A12" s="30">
        <v>10</v>
      </c>
      <c r="B12" s="30">
        <v>50</v>
      </c>
      <c r="C12" s="30" t="str">
        <f>IF(ISBLANK(B12),"",VLOOKUP(B12,Entries!$A$4:$C$70,2,FALSE))</f>
        <v>V</v>
      </c>
      <c r="D12" s="31" t="str">
        <f>IF(ISBLANK(B12),"",VLOOKUP(B12,Entries!$A$4:$C$70,3,FALSE))</f>
        <v>Harwich Runners Vets</v>
      </c>
      <c r="E12" s="30">
        <f t="shared" si="0"/>
        <v>10</v>
      </c>
      <c r="F12" s="30">
        <f>IF(ISBLANK(B12),"",VLOOKUP(B12,Overall!$B$4:$AR$75,25,FALSE))</f>
        <v>82</v>
      </c>
      <c r="G12" s="25">
        <f>IF(ISBLANK($B12),"",IF(OR($B12=$B11,$B12=$B10,$B12=$B9,$B12=$B8,$B12=$B7,$B12=$B6,$B12=$B5,$B12=$B4,$B12=$B3),"*",""))</f>
      </c>
      <c r="H12" s="30">
        <v>10</v>
      </c>
      <c r="I12" s="30">
        <v>18</v>
      </c>
      <c r="J12" s="31" t="s">
        <v>109</v>
      </c>
      <c r="K12" s="30">
        <v>75</v>
      </c>
      <c r="AA12" s="25">
        <v>8</v>
      </c>
      <c r="AB12" s="25">
        <v>18</v>
      </c>
      <c r="AC12" s="25" t="s">
        <v>3</v>
      </c>
      <c r="AD12" s="24" t="s">
        <v>109</v>
      </c>
      <c r="AE12" s="25">
        <v>8</v>
      </c>
      <c r="AF12" s="25">
        <v>75</v>
      </c>
    </row>
    <row r="13" spans="1:32" ht="15">
      <c r="A13" s="30">
        <v>11</v>
      </c>
      <c r="B13" s="30">
        <v>5</v>
      </c>
      <c r="C13" s="30" t="str">
        <f>IF(ISBLANK(B13),"",VLOOKUP(B13,Entries!$A$4:$C$70,2,FALSE))</f>
        <v>A</v>
      </c>
      <c r="D13" s="31" t="str">
        <f>IF(ISBLANK(B13),"",VLOOKUP(B13,Entries!$A$4:$C$70,3,FALSE))</f>
        <v>Tiptree Men</v>
      </c>
      <c r="E13" s="30">
        <f t="shared" si="0"/>
        <v>11</v>
      </c>
      <c r="F13" s="30">
        <f>IF(ISBLANK(B13),"",VLOOKUP(B13,Overall!$B$4:$AR$75,25,FALSE))</f>
        <v>67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26</v>
      </c>
      <c r="J13" s="31" t="s">
        <v>162</v>
      </c>
      <c r="K13" s="30">
        <v>95</v>
      </c>
      <c r="AA13" s="25">
        <v>2</v>
      </c>
      <c r="AB13" s="25">
        <v>26</v>
      </c>
      <c r="AC13" s="25" t="s">
        <v>3</v>
      </c>
      <c r="AD13" s="24" t="s">
        <v>162</v>
      </c>
      <c r="AE13" s="25">
        <v>2</v>
      </c>
      <c r="AF13" s="25">
        <v>95</v>
      </c>
    </row>
    <row r="14" spans="1:32" ht="15">
      <c r="A14" s="30">
        <v>12</v>
      </c>
      <c r="B14" s="30">
        <v>17</v>
      </c>
      <c r="C14" s="30" t="str">
        <f>IF(ISBLANK(B14),"",VLOOKUP(B14,Entries!$A$4:$C$70,2,FALSE))</f>
        <v>A</v>
      </c>
      <c r="D14" s="31" t="str">
        <f>IF(ISBLANK(B14),"",VLOOKUP(B14,Entries!$A$4:$C$70,3,FALSE))</f>
        <v>Benfleet Men A</v>
      </c>
      <c r="E14" s="30">
        <f t="shared" si="0"/>
        <v>12</v>
      </c>
      <c r="F14" s="30">
        <f>IF(ISBLANK(B14),"",VLOOKUP(B14,Overall!$B$4:$AR$75,25,FALSE))</f>
        <v>35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36</v>
      </c>
      <c r="J14" s="31" t="s">
        <v>102</v>
      </c>
      <c r="K14" s="30">
        <v>104</v>
      </c>
      <c r="AA14" s="25">
        <v>27</v>
      </c>
      <c r="AB14" s="25">
        <v>36</v>
      </c>
      <c r="AC14" s="25" t="s">
        <v>3</v>
      </c>
      <c r="AD14" s="24" t="s">
        <v>102</v>
      </c>
      <c r="AE14" s="25">
        <v>27</v>
      </c>
      <c r="AF14" s="25">
        <v>104</v>
      </c>
    </row>
    <row r="15" spans="1:32" ht="15">
      <c r="A15" s="30">
        <v>13</v>
      </c>
      <c r="B15" s="30">
        <v>32</v>
      </c>
      <c r="C15" s="30" t="str">
        <f>IF(ISBLANK(B15),"",VLOOKUP(B15,Entries!$A$4:$C$70,2,FALSE))</f>
        <v>A</v>
      </c>
      <c r="D15" s="31" t="str">
        <f>IF(ISBLANK(B15),"",VLOOKUP(B15,Entries!$A$4:$C$70,3,FALSE))</f>
        <v>Grange Farm A</v>
      </c>
      <c r="E15" s="30">
        <f t="shared" si="0"/>
        <v>13</v>
      </c>
      <c r="F15" s="30">
        <f>IF(ISBLANK(B15),"",VLOOKUP(B15,Overall!$B$4:$AR$75,25,FALSE))</f>
        <v>54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25</v>
      </c>
      <c r="J15" s="31" t="s">
        <v>160</v>
      </c>
      <c r="K15" s="30">
        <v>123</v>
      </c>
      <c r="AA15" s="25">
        <v>16</v>
      </c>
      <c r="AB15" s="25">
        <v>25</v>
      </c>
      <c r="AC15" s="25" t="s">
        <v>3</v>
      </c>
      <c r="AD15" s="24" t="s">
        <v>160</v>
      </c>
      <c r="AE15" s="25">
        <v>16</v>
      </c>
      <c r="AF15" s="25">
        <v>123</v>
      </c>
    </row>
    <row r="16" spans="1:32" ht="15">
      <c r="A16" s="30">
        <v>14</v>
      </c>
      <c r="B16" s="30">
        <v>30</v>
      </c>
      <c r="C16" s="30" t="str">
        <f>IF(ISBLANK(B16),"",VLOOKUP(B16,Entries!$A$4:$C$70,2,FALSE))</f>
        <v>A</v>
      </c>
      <c r="D16" s="31" t="str">
        <f>IF(ISBLANK(B16),"",VLOOKUP(B16,Entries!$A$4:$C$70,3,FALSE))</f>
        <v>Witham Running Club</v>
      </c>
      <c r="E16" s="30">
        <f t="shared" si="0"/>
        <v>14</v>
      </c>
      <c r="F16" s="30">
        <f>IF(ISBLANK(B16),"",VLOOKUP(B16,Overall!$B$4:$AR$75,25,FALSE))</f>
        <v>261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7</v>
      </c>
      <c r="J16" s="31" t="s">
        <v>129</v>
      </c>
      <c r="K16" s="30">
        <v>126</v>
      </c>
      <c r="AA16" s="25">
        <v>40</v>
      </c>
      <c r="AB16" s="25">
        <v>7</v>
      </c>
      <c r="AC16" s="25" t="s">
        <v>3</v>
      </c>
      <c r="AD16" s="24" t="s">
        <v>129</v>
      </c>
      <c r="AE16" s="25">
        <v>40</v>
      </c>
      <c r="AF16" s="25">
        <v>126</v>
      </c>
    </row>
    <row r="17" spans="1:32" ht="15">
      <c r="A17" s="30">
        <v>15</v>
      </c>
      <c r="B17" s="30">
        <v>29</v>
      </c>
      <c r="C17" s="30" t="str">
        <f>IF(ISBLANK(B17),"",VLOOKUP(B17,Entries!$A$4:$C$70,2,FALSE))</f>
        <v>A</v>
      </c>
      <c r="D17" s="31" t="str">
        <f>IF(ISBLANK(B17),"",VLOOKUP(B17,Entries!$A$4:$C$70,3,FALSE))</f>
        <v>Ilford B</v>
      </c>
      <c r="E17" s="30">
        <f t="shared" si="0"/>
        <v>15</v>
      </c>
      <c r="F17" s="30">
        <f>IF(ISBLANK(B17),"",VLOOKUP(B17,Overall!$B$4:$AR$75,25,FALSE))</f>
        <v>217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33</v>
      </c>
      <c r="J17" s="31" t="s">
        <v>166</v>
      </c>
      <c r="K17" s="30">
        <v>130</v>
      </c>
      <c r="AA17" s="25">
        <v>28</v>
      </c>
      <c r="AB17" s="25">
        <v>33</v>
      </c>
      <c r="AC17" s="25" t="s">
        <v>3</v>
      </c>
      <c r="AD17" s="24" t="s">
        <v>166</v>
      </c>
      <c r="AE17" s="25">
        <v>28</v>
      </c>
      <c r="AF17" s="25">
        <v>130</v>
      </c>
    </row>
    <row r="18" spans="1:32" ht="15">
      <c r="A18" s="30">
        <v>16</v>
      </c>
      <c r="B18" s="30">
        <v>25</v>
      </c>
      <c r="C18" s="30" t="str">
        <f>IF(ISBLANK(B18),"",VLOOKUP(B18,Entries!$A$4:$C$70,2,FALSE))</f>
        <v>A</v>
      </c>
      <c r="D18" s="31" t="str">
        <f>IF(ISBLANK(B18),"",VLOOKUP(B18,Entries!$A$4:$C$70,3,FALSE))</f>
        <v>Southend Men B</v>
      </c>
      <c r="E18" s="30">
        <f t="shared" si="0"/>
        <v>16</v>
      </c>
      <c r="F18" s="30">
        <f>IF(ISBLANK(B18),"",VLOOKUP(B18,Overall!$B$4:$AR$75,25,FALSE))</f>
        <v>123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10</v>
      </c>
      <c r="J18" s="31" t="s">
        <v>136</v>
      </c>
      <c r="K18" s="30">
        <v>137</v>
      </c>
      <c r="AA18" s="25">
        <v>5</v>
      </c>
      <c r="AB18" s="25">
        <v>10</v>
      </c>
      <c r="AC18" s="25" t="s">
        <v>3</v>
      </c>
      <c r="AD18" s="24" t="s">
        <v>136</v>
      </c>
      <c r="AE18" s="25">
        <v>5</v>
      </c>
      <c r="AF18" s="25">
        <v>137</v>
      </c>
    </row>
    <row r="19" spans="1:32" ht="15">
      <c r="A19" s="30">
        <v>17</v>
      </c>
      <c r="B19" s="30">
        <v>64</v>
      </c>
      <c r="C19" s="30" t="str">
        <f>IF(ISBLANK(B19),"",VLOOKUP(B19,Entries!$A$4:$C$70,2,FALSE))</f>
        <v>L</v>
      </c>
      <c r="D19" s="31" t="str">
        <f>IF(ISBLANK(B19),"",VLOOKUP(B19,Entries!$A$4:$C$70,3,FALSE))</f>
        <v>Benfleet Ladies A</v>
      </c>
      <c r="E19" s="30">
        <f t="shared" si="0"/>
        <v>17</v>
      </c>
      <c r="F19" s="30">
        <f>IF(ISBLANK(B19),"",VLOOKUP(B19,Overall!$B$4:$AR$75,25,FALSE))</f>
        <v>102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13</v>
      </c>
      <c r="J19" s="31" t="s">
        <v>85</v>
      </c>
      <c r="K19" s="30">
        <v>143</v>
      </c>
      <c r="AA19" s="25">
        <v>23</v>
      </c>
      <c r="AB19" s="25">
        <v>13</v>
      </c>
      <c r="AC19" s="25" t="s">
        <v>3</v>
      </c>
      <c r="AD19" s="24" t="s">
        <v>85</v>
      </c>
      <c r="AE19" s="25">
        <v>23</v>
      </c>
      <c r="AF19" s="25">
        <v>143</v>
      </c>
    </row>
    <row r="20" spans="1:32" ht="15">
      <c r="A20" s="30">
        <v>18</v>
      </c>
      <c r="B20" s="30">
        <v>24</v>
      </c>
      <c r="C20" s="30" t="str">
        <f>IF(ISBLANK(B20),"",VLOOKUP(B20,Entries!$A$4:$C$70,2,FALSE))</f>
        <v>A</v>
      </c>
      <c r="D20" s="31" t="str">
        <f>IF(ISBLANK(B20),"",VLOOKUP(B20,Entries!$A$4:$C$70,3,FALSE))</f>
        <v>Southend Men A</v>
      </c>
      <c r="E20" s="30">
        <f t="shared" si="0"/>
        <v>18</v>
      </c>
      <c r="F20" s="30">
        <f>IF(ISBLANK(B20),"",VLOOKUP(B20,Overall!$B$4:$AR$75,25,FALSE))</f>
        <v>63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37</v>
      </c>
      <c r="J20" s="31" t="s">
        <v>103</v>
      </c>
      <c r="K20" s="30">
        <v>165</v>
      </c>
      <c r="AA20" s="25">
        <v>22</v>
      </c>
      <c r="AB20" s="25">
        <v>37</v>
      </c>
      <c r="AC20" s="25" t="s">
        <v>3</v>
      </c>
      <c r="AD20" s="24" t="s">
        <v>103</v>
      </c>
      <c r="AE20" s="25">
        <v>22</v>
      </c>
      <c r="AF20" s="25">
        <v>165</v>
      </c>
    </row>
    <row r="21" spans="1:32" ht="15">
      <c r="A21" s="30">
        <v>19</v>
      </c>
      <c r="B21" s="30">
        <v>53</v>
      </c>
      <c r="C21" s="30" t="str">
        <f>IF(ISBLANK(B21),"",VLOOKUP(B21,Entries!$A$4:$C$70,2,FALSE))</f>
        <v>V</v>
      </c>
      <c r="D21" s="31" t="str">
        <f>IF(ISBLANK(B21),"",VLOOKUP(B21,Entries!$A$4:$C$70,3,FALSE))</f>
        <v>Springfield Striders Vets</v>
      </c>
      <c r="E21" s="30">
        <f t="shared" si="0"/>
        <v>19</v>
      </c>
      <c r="F21" s="30">
        <f>IF(ISBLANK(B21),"",VLOOKUP(B21,Overall!$B$4:$AR$75,25,FALSE))</f>
        <v>112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19</v>
      </c>
      <c r="J21" s="31" t="s">
        <v>110</v>
      </c>
      <c r="K21" s="30">
        <v>179</v>
      </c>
      <c r="AA21" s="25">
        <v>33</v>
      </c>
      <c r="AB21" s="25">
        <v>19</v>
      </c>
      <c r="AC21" s="25" t="s">
        <v>3</v>
      </c>
      <c r="AD21" s="24" t="s">
        <v>110</v>
      </c>
      <c r="AE21" s="25">
        <v>33</v>
      </c>
      <c r="AF21" s="25">
        <v>179</v>
      </c>
    </row>
    <row r="22" spans="1:32" ht="15">
      <c r="A22" s="30">
        <v>20</v>
      </c>
      <c r="B22" s="30">
        <v>57</v>
      </c>
      <c r="C22" s="30" t="str">
        <f>IF(ISBLANK(B22),"",VLOOKUP(B22,Entries!$A$4:$C$70,2,FALSE))</f>
        <v>L</v>
      </c>
      <c r="D22" s="31" t="str">
        <f>IF(ISBLANK(B22),"",VLOOKUP(B22,Entries!$A$4:$C$70,3,FALSE))</f>
        <v>Springfield Striders Ladies A</v>
      </c>
      <c r="E22" s="30">
        <f t="shared" si="0"/>
        <v>20</v>
      </c>
      <c r="F22" s="30">
        <f>IF(ISBLANK(B22),"",VLOOKUP(B22,Overall!$B$4:$AR$75,25,FALSE))</f>
        <v>187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1</v>
      </c>
      <c r="J22" s="31" t="s">
        <v>117</v>
      </c>
      <c r="K22" s="30">
        <v>193</v>
      </c>
      <c r="AA22" s="25">
        <v>48</v>
      </c>
      <c r="AB22" s="25">
        <v>1</v>
      </c>
      <c r="AC22" s="25" t="s">
        <v>3</v>
      </c>
      <c r="AD22" s="24" t="s">
        <v>117</v>
      </c>
      <c r="AE22" s="25">
        <v>48</v>
      </c>
      <c r="AF22" s="25">
        <v>193</v>
      </c>
    </row>
    <row r="23" spans="1:32" ht="15">
      <c r="A23" s="30">
        <v>21</v>
      </c>
      <c r="B23" s="30">
        <v>60</v>
      </c>
      <c r="C23" s="30" t="str">
        <f>IF(ISBLANK(B23),"",VLOOKUP(B23,Entries!$A$4:$C$70,2,FALSE))</f>
        <v>L</v>
      </c>
      <c r="D23" s="31" t="str">
        <f>IF(ISBLANK(B23),"",VLOOKUP(B23,Entries!$A$4:$C$70,3,FALSE))</f>
        <v>Tiptree Ladies</v>
      </c>
      <c r="E23" s="30">
        <f t="shared" si="0"/>
        <v>21</v>
      </c>
      <c r="F23" s="30">
        <f>IF(ISBLANK(B23),"",VLOOKUP(B23,Overall!$B$4:$AR$75,25,FALSE))</f>
        <v>249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34</v>
      </c>
      <c r="J23" s="31" t="s">
        <v>167</v>
      </c>
      <c r="K23" s="30">
        <v>207</v>
      </c>
      <c r="AA23" s="25">
        <v>39</v>
      </c>
      <c r="AB23" s="25">
        <v>34</v>
      </c>
      <c r="AC23" s="25" t="s">
        <v>3</v>
      </c>
      <c r="AD23" s="24" t="s">
        <v>167</v>
      </c>
      <c r="AE23" s="25">
        <v>39</v>
      </c>
      <c r="AF23" s="25">
        <v>207</v>
      </c>
    </row>
    <row r="24" spans="1:32" ht="15">
      <c r="A24" s="30">
        <v>22</v>
      </c>
      <c r="B24" s="30">
        <v>37</v>
      </c>
      <c r="C24" s="30" t="str">
        <f>IF(ISBLANK(B24),"",VLOOKUP(B24,Entries!$A$4:$C$70,2,FALSE))</f>
        <v>A</v>
      </c>
      <c r="D24" s="31" t="str">
        <f>IF(ISBLANK(B24),"",VLOOKUP(B24,Entries!$A$4:$C$70,3,FALSE))</f>
        <v>Springfield Striders Mixed B</v>
      </c>
      <c r="E24" s="30">
        <f t="shared" si="0"/>
        <v>22</v>
      </c>
      <c r="F24" s="30">
        <f>IF(ISBLANK(B24),"",VLOOKUP(B24,Overall!$B$4:$AR$75,25,FALSE))</f>
        <v>165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40</v>
      </c>
      <c r="J24" s="31" t="s">
        <v>173</v>
      </c>
      <c r="K24" s="30">
        <v>208</v>
      </c>
      <c r="AA24" s="25">
        <v>25</v>
      </c>
      <c r="AB24" s="25">
        <v>40</v>
      </c>
      <c r="AC24" s="25" t="s">
        <v>3</v>
      </c>
      <c r="AD24" s="24" t="s">
        <v>173</v>
      </c>
      <c r="AE24" s="25">
        <v>25</v>
      </c>
      <c r="AF24" s="25">
        <v>208</v>
      </c>
    </row>
    <row r="25" spans="1:32" ht="15">
      <c r="A25" s="30">
        <v>23</v>
      </c>
      <c r="B25" s="30">
        <v>13</v>
      </c>
      <c r="C25" s="30" t="str">
        <f>IF(ISBLANK(B25),"",VLOOKUP(B25,Entries!$A$4:$C$70,2,FALSE))</f>
        <v>A</v>
      </c>
      <c r="D25" s="31" t="str">
        <f>IF(ISBLANK(B25),"",VLOOKUP(B25,Entries!$A$4:$C$70,3,FALSE))</f>
        <v>Mid Essex Casuals B</v>
      </c>
      <c r="E25" s="30">
        <f t="shared" si="0"/>
        <v>23</v>
      </c>
      <c r="F25" s="30">
        <f>IF(ISBLANK(B25),"",VLOOKUP(B25,Overall!$B$4:$AR$75,25,FALSE))</f>
        <v>143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6</v>
      </c>
      <c r="J25" s="31" t="s">
        <v>127</v>
      </c>
      <c r="K25" s="30">
        <v>210</v>
      </c>
      <c r="AA25" s="25">
        <v>31</v>
      </c>
      <c r="AB25" s="25">
        <v>6</v>
      </c>
      <c r="AC25" s="25" t="s">
        <v>3</v>
      </c>
      <c r="AD25" s="24" t="s">
        <v>127</v>
      </c>
      <c r="AE25" s="25">
        <v>31</v>
      </c>
      <c r="AF25" s="25">
        <v>210</v>
      </c>
    </row>
    <row r="26" spans="1:32" ht="15">
      <c r="A26" s="30">
        <v>24</v>
      </c>
      <c r="B26" s="30">
        <v>69</v>
      </c>
      <c r="C26" s="30" t="str">
        <f>IF(ISBLANK(B26),"",VLOOKUP(B26,Entries!$A$4:$C$70,2,FALSE))</f>
        <v>L</v>
      </c>
      <c r="D26" s="31" t="str">
        <f>IF(ISBLANK(B26),"",VLOOKUP(B26,Entries!$A$4:$C$70,3,FALSE))</f>
        <v>Southend Ladies</v>
      </c>
      <c r="E26" s="30">
        <f t="shared" si="0"/>
        <v>24</v>
      </c>
      <c r="F26" s="30">
        <f>IF(ISBLANK(B26),"",VLOOKUP(B26,Overall!$B$4:$AR$75,25,FALSE))</f>
        <v>179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29</v>
      </c>
      <c r="J26" s="31" t="s">
        <v>92</v>
      </c>
      <c r="K26" s="30">
        <v>217</v>
      </c>
      <c r="AA26" s="25">
        <v>15</v>
      </c>
      <c r="AB26" s="25">
        <v>29</v>
      </c>
      <c r="AC26" s="25" t="s">
        <v>3</v>
      </c>
      <c r="AD26" s="24" t="s">
        <v>92</v>
      </c>
      <c r="AE26" s="25">
        <v>15</v>
      </c>
      <c r="AF26" s="25">
        <v>217</v>
      </c>
    </row>
    <row r="27" spans="1:32" ht="15">
      <c r="A27" s="30">
        <v>25</v>
      </c>
      <c r="B27" s="30">
        <v>40</v>
      </c>
      <c r="C27" s="30" t="str">
        <f>IF(ISBLANK(B27),"",VLOOKUP(B27,Entries!$A$4:$C$70,2,FALSE))</f>
        <v>A</v>
      </c>
      <c r="D27" s="31" t="str">
        <f>IF(ISBLANK(B27),"",VLOOKUP(B27,Entries!$A$4:$C$70,3,FALSE))</f>
        <v>Pitsea RC Men </v>
      </c>
      <c r="E27" s="30">
        <f t="shared" si="0"/>
        <v>25</v>
      </c>
      <c r="F27" s="30">
        <f>IF(ISBLANK(B27),"",VLOOKUP(B27,Overall!$B$4:$AR$75,25,FALSE))</f>
        <v>208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2</v>
      </c>
      <c r="J27" s="31" t="s">
        <v>98</v>
      </c>
      <c r="K27" s="30">
        <v>217</v>
      </c>
      <c r="AA27" s="25">
        <v>34</v>
      </c>
      <c r="AB27" s="25">
        <v>2</v>
      </c>
      <c r="AC27" s="25" t="s">
        <v>3</v>
      </c>
      <c r="AD27" s="24" t="s">
        <v>98</v>
      </c>
      <c r="AE27" s="25">
        <v>34</v>
      </c>
      <c r="AF27" s="25">
        <v>217</v>
      </c>
    </row>
    <row r="28" spans="1:32" ht="15">
      <c r="A28" s="30">
        <v>26</v>
      </c>
      <c r="B28" s="30">
        <v>52</v>
      </c>
      <c r="C28" s="30" t="str">
        <f>IF(ISBLANK(B28),"",VLOOKUP(B28,Entries!$A$4:$C$70,2,FALSE))</f>
        <v>V</v>
      </c>
      <c r="D28" s="31" t="str">
        <f>IF(ISBLANK(B28),"",VLOOKUP(B28,Entries!$A$4:$C$70,3,FALSE))</f>
        <v>TGT Vets</v>
      </c>
      <c r="E28" s="30">
        <f t="shared" si="0"/>
        <v>26</v>
      </c>
      <c r="F28" s="30">
        <f>IF(ISBLANK(B28),"",VLOOKUP(B28,Overall!$B$4:$AR$75,25,FALSE))</f>
        <v>229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22</v>
      </c>
      <c r="J28" s="31" t="s">
        <v>152</v>
      </c>
      <c r="K28" s="30">
        <v>218</v>
      </c>
      <c r="AA28" s="25">
        <v>45</v>
      </c>
      <c r="AB28" s="25">
        <v>22</v>
      </c>
      <c r="AC28" s="25" t="s">
        <v>3</v>
      </c>
      <c r="AD28" s="24" t="s">
        <v>152</v>
      </c>
      <c r="AE28" s="25">
        <v>45</v>
      </c>
      <c r="AF28" s="25">
        <v>218</v>
      </c>
    </row>
    <row r="29" spans="1:32" ht="15">
      <c r="A29" s="30">
        <v>27</v>
      </c>
      <c r="B29" s="30">
        <v>36</v>
      </c>
      <c r="C29" s="30" t="str">
        <f>IF(ISBLANK(B29),"",VLOOKUP(B29,Entries!$A$4:$C$70,2,FALSE))</f>
        <v>A</v>
      </c>
      <c r="D29" s="31" t="str">
        <f>IF(ISBLANK(B29),"",VLOOKUP(B29,Entries!$A$4:$C$70,3,FALSE))</f>
        <v>Springfield Striders Mixed A</v>
      </c>
      <c r="E29" s="30">
        <f t="shared" si="0"/>
        <v>27</v>
      </c>
      <c r="F29" s="30">
        <f>IF(ISBLANK(B29),"",VLOOKUP(B29,Overall!$B$4:$AR$75,25,FALSE))</f>
        <v>104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14</v>
      </c>
      <c r="J29" s="31" t="s">
        <v>141</v>
      </c>
      <c r="K29" s="30">
        <v>221</v>
      </c>
      <c r="AA29" s="25">
        <v>56</v>
      </c>
      <c r="AB29" s="25">
        <v>14</v>
      </c>
      <c r="AC29" s="25" t="s">
        <v>3</v>
      </c>
      <c r="AD29" s="24" t="s">
        <v>141</v>
      </c>
      <c r="AE29" s="25">
        <v>56</v>
      </c>
      <c r="AF29" s="25">
        <v>221</v>
      </c>
    </row>
    <row r="30" spans="1:32" ht="15">
      <c r="A30" s="30">
        <v>28</v>
      </c>
      <c r="B30" s="30">
        <v>33</v>
      </c>
      <c r="C30" s="30" t="str">
        <f>IF(ISBLANK(B30),"",VLOOKUP(B30,Entries!$A$4:$C$70,2,FALSE))</f>
        <v>A</v>
      </c>
      <c r="D30" s="31" t="str">
        <f>IF(ISBLANK(B30),"",VLOOKUP(B30,Entries!$A$4:$C$70,3,FALSE))</f>
        <v>Grange Farm B</v>
      </c>
      <c r="E30" s="30">
        <f t="shared" si="0"/>
        <v>28</v>
      </c>
      <c r="F30" s="30">
        <f>IF(ISBLANK(B30),"",VLOOKUP(B30,Overall!$B$4:$AR$75,25,FALSE))</f>
        <v>130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8</v>
      </c>
      <c r="J30" s="31" t="s">
        <v>132</v>
      </c>
      <c r="K30" s="30">
        <v>231</v>
      </c>
      <c r="AA30" s="25">
        <v>42</v>
      </c>
      <c r="AB30" s="25">
        <v>8</v>
      </c>
      <c r="AC30" s="25" t="s">
        <v>3</v>
      </c>
      <c r="AD30" s="24" t="s">
        <v>132</v>
      </c>
      <c r="AE30" s="25">
        <v>42</v>
      </c>
      <c r="AF30" s="25">
        <v>231</v>
      </c>
    </row>
    <row r="31" spans="1:32" ht="15">
      <c r="A31" s="30">
        <v>29</v>
      </c>
      <c r="B31" s="30">
        <v>58</v>
      </c>
      <c r="C31" s="30" t="str">
        <f>IF(ISBLANK(B31),"",VLOOKUP(B31,Entries!$A$4:$C$70,2,FALSE))</f>
        <v>L</v>
      </c>
      <c r="D31" s="31" t="str">
        <f>IF(ISBLANK(B31),"",VLOOKUP(B31,Entries!$A$4:$C$70,3,FALSE))</f>
        <v>Springfield Striders Ladies B</v>
      </c>
      <c r="E31" s="30">
        <f t="shared" si="0"/>
        <v>29</v>
      </c>
      <c r="F31" s="30">
        <f>IF(ISBLANK(B31),"",VLOOKUP(B31,Overall!$B$4:$AR$75,25,FALSE))</f>
        <v>228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38</v>
      </c>
      <c r="J31" s="31" t="s">
        <v>104</v>
      </c>
      <c r="K31" s="30">
        <v>244</v>
      </c>
      <c r="AA31" s="25">
        <v>38</v>
      </c>
      <c r="AB31" s="25">
        <v>38</v>
      </c>
      <c r="AC31" s="25" t="s">
        <v>3</v>
      </c>
      <c r="AD31" s="24" t="s">
        <v>104</v>
      </c>
      <c r="AE31" s="25">
        <v>38</v>
      </c>
      <c r="AF31" s="25">
        <v>244</v>
      </c>
    </row>
    <row r="32" spans="1:32" ht="15">
      <c r="A32" s="30">
        <v>30</v>
      </c>
      <c r="B32" s="30">
        <v>62</v>
      </c>
      <c r="C32" s="30" t="str">
        <f>IF(ISBLANK(B32),"",VLOOKUP(B32,Entries!$A$4:$C$70,2,FALSE))</f>
        <v>L</v>
      </c>
      <c r="D32" s="31" t="str">
        <f>IF(ISBLANK(B32),"",VLOOKUP(B32,Entries!$A$4:$C$70,3,FALSE))</f>
        <v>Leigh on Sea - Weekend without Make up</v>
      </c>
      <c r="E32" s="30">
        <f t="shared" si="0"/>
        <v>30</v>
      </c>
      <c r="F32" s="30">
        <f>IF(ISBLANK(B32),"",VLOOKUP(B32,Overall!$B$4:$AR$75,25,FALSE))</f>
        <v>177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20</v>
      </c>
      <c r="J32" s="31" t="s">
        <v>145</v>
      </c>
      <c r="K32" s="30">
        <v>255</v>
      </c>
      <c r="AA32" s="25">
        <v>44</v>
      </c>
      <c r="AB32" s="25">
        <v>20</v>
      </c>
      <c r="AC32" s="25" t="s">
        <v>3</v>
      </c>
      <c r="AD32" s="24" t="s">
        <v>145</v>
      </c>
      <c r="AE32" s="25">
        <v>44</v>
      </c>
      <c r="AF32" s="25">
        <v>255</v>
      </c>
    </row>
    <row r="33" spans="1:32" ht="15">
      <c r="A33" s="30">
        <v>31</v>
      </c>
      <c r="B33" s="30">
        <v>6</v>
      </c>
      <c r="C33" s="30" t="str">
        <f>IF(ISBLANK(B33),"",VLOOKUP(B33,Entries!$A$4:$C$70,2,FALSE))</f>
        <v>A</v>
      </c>
      <c r="D33" s="31" t="str">
        <f>IF(ISBLANK(B33),"",VLOOKUP(B33,Entries!$A$4:$C$70,3,FALSE))</f>
        <v>Thurrock Nomads B - The Z list</v>
      </c>
      <c r="E33" s="30">
        <f aca="true" t="shared" si="1" ref="E33:E55">IF(ISBLANK(B33),"",A33)</f>
        <v>31</v>
      </c>
      <c r="F33" s="30">
        <f>IF(ISBLANK(B33),"",VLOOKUP(B33,Overall!$B$4:$AR$75,25,FALSE))</f>
        <v>210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30</v>
      </c>
      <c r="J33" s="31" t="s">
        <v>100</v>
      </c>
      <c r="K33" s="30">
        <v>261</v>
      </c>
      <c r="AA33" s="25">
        <v>14</v>
      </c>
      <c r="AB33" s="25">
        <v>30</v>
      </c>
      <c r="AC33" s="25" t="s">
        <v>3</v>
      </c>
      <c r="AD33" s="24" t="s">
        <v>100</v>
      </c>
      <c r="AE33" s="25">
        <v>14</v>
      </c>
      <c r="AF33" s="25">
        <v>261</v>
      </c>
    </row>
    <row r="34" spans="1:32" ht="15">
      <c r="A34" s="30">
        <v>32</v>
      </c>
      <c r="B34" s="30">
        <v>65</v>
      </c>
      <c r="C34" s="30" t="str">
        <f>IF(ISBLANK(B34),"",VLOOKUP(B34,Entries!$A$4:$C$70,2,FALSE))</f>
        <v>L</v>
      </c>
      <c r="D34" s="31" t="str">
        <f>IF(ISBLANK(B34),"",VLOOKUP(B34,Entries!$A$4:$C$70,3,FALSE))</f>
        <v>Benfleet Ladies B</v>
      </c>
      <c r="E34" s="30">
        <f t="shared" si="1"/>
        <v>32</v>
      </c>
      <c r="F34" s="30">
        <f>IF(ISBLANK(B34),"",VLOOKUP(B34,Overall!$B$4:$AR$75,25,FALSE))</f>
        <v>221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3</v>
      </c>
      <c r="J34" s="31" t="s">
        <v>120</v>
      </c>
      <c r="K34" s="30">
        <v>270</v>
      </c>
      <c r="AA34" s="25">
        <v>36</v>
      </c>
      <c r="AB34" s="25">
        <v>3</v>
      </c>
      <c r="AC34" s="25" t="s">
        <v>3</v>
      </c>
      <c r="AD34" s="24" t="s">
        <v>120</v>
      </c>
      <c r="AE34" s="25">
        <v>36</v>
      </c>
      <c r="AF34" s="25">
        <v>270</v>
      </c>
    </row>
    <row r="35" spans="1:32" ht="15">
      <c r="A35" s="30">
        <v>33</v>
      </c>
      <c r="B35" s="30">
        <v>19</v>
      </c>
      <c r="C35" s="30" t="str">
        <f>IF(ISBLANK(B35),"",VLOOKUP(B35,Entries!$A$4:$C$70,2,FALSE))</f>
        <v>A</v>
      </c>
      <c r="D35" s="31" t="str">
        <f>IF(ISBLANK(B35),"",VLOOKUP(B35,Entries!$A$4:$C$70,3,FALSE))</f>
        <v>Benfleet Men C</v>
      </c>
      <c r="E35" s="30">
        <f t="shared" si="1"/>
        <v>33</v>
      </c>
      <c r="F35" s="30">
        <f>IF(ISBLANK(B35),"",VLOOKUP(B35,Overall!$B$4:$AR$75,25,FALSE))</f>
        <v>179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27</v>
      </c>
      <c r="J35" s="31" t="s">
        <v>97</v>
      </c>
      <c r="K35" s="30">
        <v>281</v>
      </c>
      <c r="AA35" s="25">
        <v>51</v>
      </c>
      <c r="AB35" s="25">
        <v>27</v>
      </c>
      <c r="AC35" s="25" t="s">
        <v>3</v>
      </c>
      <c r="AD35" s="24" t="s">
        <v>97</v>
      </c>
      <c r="AE35" s="25">
        <v>51</v>
      </c>
      <c r="AF35" s="25">
        <v>281</v>
      </c>
    </row>
    <row r="36" spans="1:32" ht="15">
      <c r="A36" s="30">
        <v>34</v>
      </c>
      <c r="B36" s="30">
        <v>2</v>
      </c>
      <c r="C36" s="30" t="str">
        <f>IF(ISBLANK(B36),"",VLOOKUP(B36,Entries!$A$4:$C$70,2,FALSE))</f>
        <v>A</v>
      </c>
      <c r="D36" s="31" t="str">
        <f>IF(ISBLANK(B36),"",VLOOKUP(B36,Entries!$A$4:$C$70,3,FALSE))</f>
        <v>Thurrock Nomads A</v>
      </c>
      <c r="E36" s="30">
        <f t="shared" si="1"/>
        <v>34</v>
      </c>
      <c r="F36" s="30">
        <f>IF(ISBLANK(B36),"",VLOOKUP(B36,Overall!$B$4:$AR$75,25,FALSE))</f>
        <v>217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16</v>
      </c>
      <c r="J36" s="31" t="s">
        <v>143</v>
      </c>
      <c r="K36" s="30">
        <v>294</v>
      </c>
      <c r="AA36" s="25">
        <v>55</v>
      </c>
      <c r="AB36" s="25">
        <v>16</v>
      </c>
      <c r="AC36" s="25" t="s">
        <v>3</v>
      </c>
      <c r="AD36" s="24" t="s">
        <v>143</v>
      </c>
      <c r="AE36" s="25">
        <v>55</v>
      </c>
      <c r="AF36" s="25">
        <v>294</v>
      </c>
    </row>
    <row r="37" spans="1:32" ht="15">
      <c r="A37" s="30">
        <v>35</v>
      </c>
      <c r="B37" s="30">
        <v>51</v>
      </c>
      <c r="C37" s="30" t="str">
        <f>IF(ISBLANK(B37),"",VLOOKUP(B37,Entries!$A$4:$C$70,2,FALSE))</f>
        <v>V</v>
      </c>
      <c r="D37" s="31" t="str">
        <f>IF(ISBLANK(B37),"",VLOOKUP(B37,Entries!$A$4:$C$70,3,FALSE))</f>
        <v>Ilford Vets</v>
      </c>
      <c r="E37" s="30">
        <f t="shared" si="1"/>
        <v>35</v>
      </c>
      <c r="F37" s="30">
        <f>IF(ISBLANK(B37),"",VLOOKUP(B37,Overall!$B$4:$AR$75,25,FALSE))</f>
        <v>184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35</v>
      </c>
      <c r="J37" s="31" t="s">
        <v>168</v>
      </c>
      <c r="K37" s="30">
        <v>309</v>
      </c>
      <c r="AA37" s="25">
        <v>100</v>
      </c>
      <c r="AB37" s="25">
        <v>35</v>
      </c>
      <c r="AC37" s="25" t="s">
        <v>3</v>
      </c>
      <c r="AD37" s="24" t="s">
        <v>168</v>
      </c>
      <c r="AE37" s="25">
        <v>100</v>
      </c>
      <c r="AF37" s="25">
        <v>309</v>
      </c>
    </row>
    <row r="38" spans="1:32" ht="15">
      <c r="A38" s="30">
        <v>36</v>
      </c>
      <c r="B38" s="30">
        <v>3</v>
      </c>
      <c r="C38" s="30" t="str">
        <f>IF(ISBLANK(B38),"",VLOOKUP(B38,Entries!$A$4:$C$70,2,FALSE))</f>
        <v>A</v>
      </c>
      <c r="D38" s="31" t="str">
        <f>IF(ISBLANK(B38),"",VLOOKUP(B38,Entries!$A$4:$C$70,3,FALSE))</f>
        <v>Tiptree A</v>
      </c>
      <c r="E38" s="30">
        <f t="shared" si="1"/>
        <v>36</v>
      </c>
      <c r="F38" s="30">
        <f>IF(ISBLANK(B38),"",VLOOKUP(B38,Overall!$B$4:$AR$75,25,FALSE))</f>
        <v>270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15</v>
      </c>
      <c r="J38" s="31" t="s">
        <v>142</v>
      </c>
      <c r="K38" s="30">
        <v>335</v>
      </c>
      <c r="AA38" s="25">
        <v>54</v>
      </c>
      <c r="AB38" s="25">
        <v>15</v>
      </c>
      <c r="AC38" s="25" t="s">
        <v>3</v>
      </c>
      <c r="AD38" s="24" t="s">
        <v>142</v>
      </c>
      <c r="AE38" s="25">
        <v>54</v>
      </c>
      <c r="AF38" s="25">
        <v>335</v>
      </c>
    </row>
    <row r="39" spans="1:32" ht="15">
      <c r="A39" s="30">
        <v>37</v>
      </c>
      <c r="B39" s="30">
        <v>59</v>
      </c>
      <c r="C39" s="30" t="str">
        <f>IF(ISBLANK(B39),"",VLOOKUP(B39,Entries!$A$4:$C$70,2,FALSE))</f>
        <v>L</v>
      </c>
      <c r="D39" s="31" t="str">
        <f>IF(ISBLANK(B39),"",VLOOKUP(B39,Entries!$A$4:$C$70,3,FALSE))</f>
        <v>Grange Farm Ladies</v>
      </c>
      <c r="E39" s="30">
        <f t="shared" si="1"/>
        <v>37</v>
      </c>
      <c r="F39" s="30">
        <f>IF(ISBLANK(B39),"",VLOOKUP(B39,Overall!$B$4:$AR$75,25,FALSE))</f>
        <v>178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11</v>
      </c>
      <c r="J39" s="31" t="s">
        <v>65</v>
      </c>
      <c r="K39" s="30">
        <v>342</v>
      </c>
      <c r="AA39" s="25">
        <v>50</v>
      </c>
      <c r="AB39" s="25">
        <v>11</v>
      </c>
      <c r="AC39" s="25" t="s">
        <v>3</v>
      </c>
      <c r="AD39" s="24" t="s">
        <v>65</v>
      </c>
      <c r="AE39" s="25">
        <v>50</v>
      </c>
      <c r="AF39" s="25">
        <v>342</v>
      </c>
    </row>
    <row r="40" spans="1:32" ht="15">
      <c r="A40" s="30">
        <v>38</v>
      </c>
      <c r="B40" s="30">
        <v>38</v>
      </c>
      <c r="C40" s="30" t="str">
        <f>IF(ISBLANK(B40),"",VLOOKUP(B40,Entries!$A$4:$C$70,2,FALSE))</f>
        <v>A</v>
      </c>
      <c r="D40" s="31" t="str">
        <f>IF(ISBLANK(B40),"",VLOOKUP(B40,Entries!$A$4:$C$70,3,FALSE))</f>
        <v>Springfield Striders Mixed C</v>
      </c>
      <c r="E40" s="30">
        <f t="shared" si="1"/>
        <v>38</v>
      </c>
      <c r="F40" s="30">
        <f>IF(ISBLANK(B40),"",VLOOKUP(B40,Overall!$B$4:$AR$75,25,FALSE))</f>
        <v>244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41</v>
      </c>
      <c r="J40" s="31" t="s">
        <v>176</v>
      </c>
      <c r="K40" s="30">
        <v>344</v>
      </c>
      <c r="AA40" s="25">
        <v>100</v>
      </c>
      <c r="AB40" s="25">
        <v>41</v>
      </c>
      <c r="AC40" s="25" t="s">
        <v>3</v>
      </c>
      <c r="AD40" s="24" t="s">
        <v>176</v>
      </c>
      <c r="AE40" s="25">
        <v>100</v>
      </c>
      <c r="AF40" s="25">
        <v>344</v>
      </c>
    </row>
    <row r="41" spans="1:32" ht="15">
      <c r="A41" s="30">
        <v>39</v>
      </c>
      <c r="B41" s="30">
        <v>34</v>
      </c>
      <c r="C41" s="30" t="str">
        <f>IF(ISBLANK(B41),"",VLOOKUP(B41,Entries!$A$4:$C$70,2,FALSE))</f>
        <v>A</v>
      </c>
      <c r="D41" s="31" t="str">
        <f>IF(ISBLANK(B41),"",VLOOKUP(B41,Entries!$A$4:$C$70,3,FALSE))</f>
        <v>Grange Farm C</v>
      </c>
      <c r="E41" s="30">
        <f t="shared" si="1"/>
        <v>39</v>
      </c>
      <c r="F41" s="30">
        <f>IF(ISBLANK(B41),"",VLOOKUP(B41,Overall!$B$4:$AR$75,25,FALSE))</f>
        <v>207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4</v>
      </c>
      <c r="J41" s="31" t="s">
        <v>123</v>
      </c>
      <c r="K41" s="30">
        <v>425</v>
      </c>
      <c r="AA41" s="25">
        <v>41</v>
      </c>
      <c r="AB41" s="25">
        <v>4</v>
      </c>
      <c r="AC41" s="25" t="s">
        <v>3</v>
      </c>
      <c r="AD41" s="24" t="s">
        <v>123</v>
      </c>
      <c r="AE41" s="25">
        <v>41</v>
      </c>
      <c r="AF41" s="25">
        <v>425</v>
      </c>
    </row>
    <row r="42" spans="1:32" ht="15">
      <c r="A42" s="30">
        <v>40</v>
      </c>
      <c r="B42" s="30">
        <v>7</v>
      </c>
      <c r="C42" s="30" t="str">
        <f>IF(ISBLANK(B42),"",VLOOKUP(B42,Entries!$A$4:$C$70,2,FALSE))</f>
        <v>A</v>
      </c>
      <c r="D42" s="31" t="str">
        <f>IF(ISBLANK(B42),"",VLOOKUP(B42,Entries!$A$4:$C$70,3,FALSE))</f>
        <v>Halstead Road Runners</v>
      </c>
      <c r="E42" s="30">
        <f t="shared" si="1"/>
        <v>40</v>
      </c>
      <c r="F42" s="30">
        <f>IF(ISBLANK(B42),"",VLOOKUP(B42,Overall!$B$4:$AR$75,25,FALSE))</f>
        <v>126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39</v>
      </c>
      <c r="J42" s="45" t="s">
        <v>105</v>
      </c>
      <c r="K42" s="44">
        <v>471</v>
      </c>
      <c r="AA42" s="25">
        <v>100</v>
      </c>
      <c r="AB42" s="25">
        <v>39</v>
      </c>
      <c r="AC42" s="25" t="s">
        <v>3</v>
      </c>
      <c r="AD42" s="24" t="s">
        <v>105</v>
      </c>
      <c r="AE42" s="25">
        <v>100</v>
      </c>
      <c r="AF42" s="25">
        <v>471</v>
      </c>
    </row>
    <row r="43" spans="1:32" ht="15">
      <c r="A43" s="30">
        <v>41</v>
      </c>
      <c r="B43" s="30">
        <v>4</v>
      </c>
      <c r="C43" s="30" t="str">
        <f>IF(ISBLANK(B43),"",VLOOKUP(B43,Entries!$A$4:$C$70,2,FALSE))</f>
        <v>A</v>
      </c>
      <c r="D43" s="31" t="str">
        <f>IF(ISBLANK(B43),"",VLOOKUP(B43,Entries!$A$4:$C$70,3,FALSE))</f>
        <v>Tiptree B</v>
      </c>
      <c r="E43" s="30">
        <f t="shared" si="1"/>
        <v>41</v>
      </c>
      <c r="F43" s="30">
        <f>IF(ISBLANK(B43),"",VLOOKUP(B43,Overall!$B$4:$AR$75,25,FALSE))</f>
        <v>425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17</v>
      </c>
      <c r="AB43" s="25">
        <v>64</v>
      </c>
      <c r="AC43" s="25" t="s">
        <v>0</v>
      </c>
      <c r="AD43" s="24" t="s">
        <v>191</v>
      </c>
      <c r="AE43" s="25">
        <v>17</v>
      </c>
      <c r="AF43" s="25">
        <v>102</v>
      </c>
    </row>
    <row r="44" spans="1:32" ht="15">
      <c r="A44" s="30">
        <v>42</v>
      </c>
      <c r="B44" s="30">
        <v>8</v>
      </c>
      <c r="C44" s="30" t="str">
        <f>IF(ISBLANK(B44),"",VLOOKUP(B44,Entries!$A$4:$C$70,2,FALSE))</f>
        <v>A</v>
      </c>
      <c r="D44" s="31" t="str">
        <f>IF(ISBLANK(B44),"",VLOOKUP(B44,Entries!$A$4:$C$70,3,FALSE))</f>
        <v>East Essex Tri Men</v>
      </c>
      <c r="E44" s="30">
        <f t="shared" si="1"/>
        <v>42</v>
      </c>
      <c r="F44" s="30">
        <f>IF(ISBLANK(B44),"",VLOOKUP(B44,Overall!$B$4:$AR$75,25,FALSE))</f>
        <v>231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30</v>
      </c>
      <c r="AB44" s="25">
        <v>62</v>
      </c>
      <c r="AC44" s="25" t="s">
        <v>0</v>
      </c>
      <c r="AD44" s="24" t="s">
        <v>188</v>
      </c>
      <c r="AE44" s="25">
        <v>30</v>
      </c>
      <c r="AF44" s="25">
        <v>177</v>
      </c>
    </row>
    <row r="45" spans="1:32" ht="15">
      <c r="A45" s="30">
        <v>43</v>
      </c>
      <c r="B45" s="30">
        <v>61</v>
      </c>
      <c r="C45" s="30" t="str">
        <f>IF(ISBLANK(B45),"",VLOOKUP(B45,Entries!$A$4:$C$70,2,FALSE))</f>
        <v>L</v>
      </c>
      <c r="D45" s="31" t="str">
        <f>IF(ISBLANK(B45),"",VLOOKUP(B45,Entries!$A$4:$C$70,3,FALSE))</f>
        <v>East Essex Tri Women</v>
      </c>
      <c r="E45" s="30">
        <f t="shared" si="1"/>
        <v>43</v>
      </c>
      <c r="F45" s="30">
        <f>IF(ISBLANK(B45),"",VLOOKUP(B45,Overall!$B$4:$AR$75,25,FALSE))</f>
        <v>206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102</v>
      </c>
      <c r="AA45" s="25">
        <v>37</v>
      </c>
      <c r="AB45" s="25">
        <v>59</v>
      </c>
      <c r="AC45" s="25" t="s">
        <v>0</v>
      </c>
      <c r="AD45" s="24" t="s">
        <v>183</v>
      </c>
      <c r="AE45" s="25">
        <v>37</v>
      </c>
      <c r="AF45" s="25">
        <v>178</v>
      </c>
    </row>
    <row r="46" spans="1:32" ht="15">
      <c r="A46" s="30">
        <v>44</v>
      </c>
      <c r="B46" s="30">
        <v>20</v>
      </c>
      <c r="C46" s="30" t="str">
        <f>IF(ISBLANK(B46),"",VLOOKUP(B46,Entries!$A$4:$C$70,2,FALSE))</f>
        <v>A</v>
      </c>
      <c r="D46" s="31" t="str">
        <f>IF(ISBLANK(B46),"",VLOOKUP(B46,Entries!$A$4:$C$70,3,FALSE))</f>
        <v>BSRC</v>
      </c>
      <c r="E46" s="30">
        <f t="shared" si="1"/>
        <v>44</v>
      </c>
      <c r="F46" s="30">
        <f>IF(ISBLANK(B46),"",VLOOKUP(B46,Overall!$B$4:$AR$75,25,FALSE))</f>
        <v>255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62</v>
      </c>
      <c r="J46" s="31" t="s">
        <v>188</v>
      </c>
      <c r="K46" s="30">
        <v>177</v>
      </c>
      <c r="AA46" s="25">
        <v>24</v>
      </c>
      <c r="AB46" s="25">
        <v>69</v>
      </c>
      <c r="AC46" s="25" t="s">
        <v>0</v>
      </c>
      <c r="AD46" s="24" t="s">
        <v>198</v>
      </c>
      <c r="AE46" s="25">
        <v>24</v>
      </c>
      <c r="AF46" s="25">
        <v>179</v>
      </c>
    </row>
    <row r="47" spans="1:32" ht="15">
      <c r="A47" s="30">
        <v>45</v>
      </c>
      <c r="B47" s="30">
        <v>22</v>
      </c>
      <c r="C47" s="30" t="str">
        <f>IF(ISBLANK(B47),"",VLOOKUP(B47,Entries!$A$4:$C$70,2,FALSE))</f>
        <v>A</v>
      </c>
      <c r="D47" s="31" t="str">
        <f>IF(ISBLANK(B47),"",VLOOKUP(B47,Entries!$A$4:$C$70,3,FALSE))</f>
        <v>TGT Men B</v>
      </c>
      <c r="E47" s="30">
        <f t="shared" si="1"/>
        <v>45</v>
      </c>
      <c r="F47" s="30">
        <f>IF(ISBLANK(B47),"",VLOOKUP(B47,Overall!$B$4:$AR$75,25,FALSE))</f>
        <v>218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59</v>
      </c>
      <c r="J47" s="31" t="s">
        <v>183</v>
      </c>
      <c r="K47" s="30">
        <v>178</v>
      </c>
      <c r="AA47" s="25">
        <v>20</v>
      </c>
      <c r="AB47" s="25">
        <v>57</v>
      </c>
      <c r="AC47" s="25" t="s">
        <v>0</v>
      </c>
      <c r="AD47" s="24" t="s">
        <v>181</v>
      </c>
      <c r="AE47" s="25">
        <v>20</v>
      </c>
      <c r="AF47" s="25">
        <v>187</v>
      </c>
    </row>
    <row r="48" spans="1:32" ht="15">
      <c r="A48" s="30">
        <v>46</v>
      </c>
      <c r="B48" s="30">
        <v>70</v>
      </c>
      <c r="C48" s="30" t="str">
        <f>IF(ISBLANK(B48),"",VLOOKUP(B48,Entries!$A$4:$C$70,2,FALSE))</f>
        <v>L</v>
      </c>
      <c r="D48" s="31" t="str">
        <f>IF(ISBLANK(B48),"",VLOOKUP(B48,Entries!$A$4:$C$70,3,FALSE))</f>
        <v>Harwich Runners Ladies</v>
      </c>
      <c r="E48" s="30">
        <f t="shared" si="1"/>
        <v>46</v>
      </c>
      <c r="F48" s="30">
        <f>IF(ISBLANK(B48),"",VLOOKUP(B48,Overall!$B$4:$AR$75,25,FALSE))</f>
        <v>231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69</v>
      </c>
      <c r="J48" s="31" t="s">
        <v>198</v>
      </c>
      <c r="K48" s="30">
        <v>179</v>
      </c>
      <c r="AA48" s="25">
        <v>43</v>
      </c>
      <c r="AB48" s="25">
        <v>61</v>
      </c>
      <c r="AC48" s="25" t="s">
        <v>0</v>
      </c>
      <c r="AD48" s="24" t="s">
        <v>187</v>
      </c>
      <c r="AE48" s="25">
        <v>43</v>
      </c>
      <c r="AF48" s="25">
        <v>206</v>
      </c>
    </row>
    <row r="49" spans="1:32" ht="15">
      <c r="A49" s="30">
        <v>47</v>
      </c>
      <c r="B49" s="30">
        <v>66</v>
      </c>
      <c r="C49" s="30" t="str">
        <f>IF(ISBLANK(B49),"",VLOOKUP(B49,Entries!$A$4:$C$70,2,FALSE))</f>
        <v>L</v>
      </c>
      <c r="D49" s="31" t="str">
        <f>IF(ISBLANK(B49),"",VLOOKUP(B49,Entries!$A$4:$C$70,3,FALSE))</f>
        <v>TGT Ladies A</v>
      </c>
      <c r="E49" s="30">
        <f t="shared" si="1"/>
        <v>47</v>
      </c>
      <c r="F49" s="30">
        <f>IF(ISBLANK(B49),"",VLOOKUP(B49,Overall!$B$4:$AR$75,25,FALSE))</f>
        <v>212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57</v>
      </c>
      <c r="J49" s="31" t="s">
        <v>181</v>
      </c>
      <c r="K49" s="30">
        <v>187</v>
      </c>
      <c r="AA49" s="25">
        <v>47</v>
      </c>
      <c r="AB49" s="25">
        <v>66</v>
      </c>
      <c r="AC49" s="25" t="s">
        <v>0</v>
      </c>
      <c r="AD49" s="24" t="s">
        <v>193</v>
      </c>
      <c r="AE49" s="25">
        <v>47</v>
      </c>
      <c r="AF49" s="25">
        <v>212</v>
      </c>
    </row>
    <row r="50" spans="1:32" ht="15">
      <c r="A50" s="30">
        <v>48</v>
      </c>
      <c r="B50" s="30">
        <v>1</v>
      </c>
      <c r="C50" s="30" t="str">
        <f>IF(ISBLANK(B50),"",VLOOKUP(B50,Entries!$A$4:$C$70,2,FALSE))</f>
        <v>A</v>
      </c>
      <c r="D50" s="31" t="str">
        <f>IF(ISBLANK(B50),"",VLOOKUP(B50,Entries!$A$4:$C$70,3,FALSE))</f>
        <v>Eton Manor AC</v>
      </c>
      <c r="E50" s="30">
        <f t="shared" si="1"/>
        <v>48</v>
      </c>
      <c r="F50" s="30">
        <f>IF(ISBLANK(B50),"",VLOOKUP(B50,Overall!$B$4:$AR$75,25,FALSE))</f>
        <v>193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61</v>
      </c>
      <c r="J50" s="31" t="s">
        <v>187</v>
      </c>
      <c r="K50" s="30">
        <v>206</v>
      </c>
      <c r="AA50" s="25">
        <v>32</v>
      </c>
      <c r="AB50" s="25">
        <v>65</v>
      </c>
      <c r="AC50" s="25" t="s">
        <v>0</v>
      </c>
      <c r="AD50" s="24" t="s">
        <v>192</v>
      </c>
      <c r="AE50" s="25">
        <v>32</v>
      </c>
      <c r="AF50" s="25">
        <v>221</v>
      </c>
    </row>
    <row r="51" spans="1:32" ht="15">
      <c r="A51" s="30">
        <v>49</v>
      </c>
      <c r="B51" s="30">
        <v>63</v>
      </c>
      <c r="C51" s="30" t="str">
        <f>IF(ISBLANK(B51),"",VLOOKUP(B51,Entries!$A$4:$C$70,2,FALSE))</f>
        <v>L</v>
      </c>
      <c r="D51" s="31" t="str">
        <f>IF(ISBLANK(B51),"",VLOOKUP(B51,Entries!$A$4:$C$70,3,FALSE))</f>
        <v>Billericay Striders</v>
      </c>
      <c r="E51" s="30">
        <f t="shared" si="1"/>
        <v>49</v>
      </c>
      <c r="F51" s="30">
        <f>IF(ISBLANK(B51),"",VLOOKUP(B51,Overall!$B$4:$AR$75,25,FALSE))</f>
        <v>346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66</v>
      </c>
      <c r="J51" s="31" t="s">
        <v>193</v>
      </c>
      <c r="K51" s="30">
        <v>212</v>
      </c>
      <c r="AA51" s="25">
        <v>29</v>
      </c>
      <c r="AB51" s="25">
        <v>58</v>
      </c>
      <c r="AC51" s="25" t="s">
        <v>0</v>
      </c>
      <c r="AD51" s="24" t="s">
        <v>182</v>
      </c>
      <c r="AE51" s="25">
        <v>29</v>
      </c>
      <c r="AF51" s="25">
        <v>228</v>
      </c>
    </row>
    <row r="52" spans="1:32" ht="15">
      <c r="A52" s="30">
        <v>50</v>
      </c>
      <c r="B52" s="30">
        <v>11</v>
      </c>
      <c r="C52" s="30" t="str">
        <f>IF(ISBLANK(B52),"",VLOOKUP(B52,Entries!$A$4:$C$70,2,FALSE))</f>
        <v>A</v>
      </c>
      <c r="D52" s="31" t="str">
        <f>IF(ISBLANK(B52),"",VLOOKUP(B52,Entries!$A$4:$C$70,3,FALSE))</f>
        <v>Billericay Striders</v>
      </c>
      <c r="E52" s="30">
        <f t="shared" si="1"/>
        <v>50</v>
      </c>
      <c r="F52" s="30">
        <f>IF(ISBLANK(B52),"",VLOOKUP(B52,Overall!$B$4:$AR$75,25,FALSE))</f>
        <v>342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65</v>
      </c>
      <c r="J52" s="31" t="s">
        <v>192</v>
      </c>
      <c r="K52" s="30">
        <v>221</v>
      </c>
      <c r="AA52" s="25">
        <v>46</v>
      </c>
      <c r="AB52" s="25">
        <v>70</v>
      </c>
      <c r="AC52" s="25" t="s">
        <v>0</v>
      </c>
      <c r="AD52" s="24" t="s">
        <v>199</v>
      </c>
      <c r="AE52" s="25">
        <v>46</v>
      </c>
      <c r="AF52" s="25">
        <v>231</v>
      </c>
    </row>
    <row r="53" spans="1:32" ht="15">
      <c r="A53" s="30">
        <v>51</v>
      </c>
      <c r="B53" s="30">
        <v>27</v>
      </c>
      <c r="C53" s="30" t="str">
        <f>IF(ISBLANK(B53),"",VLOOKUP(B53,Entries!$A$4:$C$70,2,FALSE))</f>
        <v>A</v>
      </c>
      <c r="D53" s="31" t="str">
        <f>IF(ISBLANK(B53),"",VLOOKUP(B53,Entries!$A$4:$C$70,3,FALSE))</f>
        <v>Harwich Runners Mixed</v>
      </c>
      <c r="E53" s="30">
        <f t="shared" si="1"/>
        <v>51</v>
      </c>
      <c r="F53" s="30">
        <f>IF(ISBLANK(B53),"",VLOOKUP(B53,Overall!$B$4:$AR$75,25,FALSE))</f>
        <v>281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58</v>
      </c>
      <c r="J53" s="31" t="s">
        <v>182</v>
      </c>
      <c r="K53" s="30">
        <v>228</v>
      </c>
      <c r="AA53" s="25">
        <v>21</v>
      </c>
      <c r="AB53" s="25">
        <v>60</v>
      </c>
      <c r="AC53" s="25" t="s">
        <v>0</v>
      </c>
      <c r="AD53" s="24" t="s">
        <v>184</v>
      </c>
      <c r="AE53" s="25">
        <v>21</v>
      </c>
      <c r="AF53" s="25">
        <v>249</v>
      </c>
    </row>
    <row r="54" spans="1:32" ht="15">
      <c r="A54" s="30">
        <v>52</v>
      </c>
      <c r="B54" s="30">
        <v>68</v>
      </c>
      <c r="C54" s="30" t="str">
        <f>IF(ISBLANK(B54),"",VLOOKUP(B54,Entries!$A$4:$C$70,2,FALSE))</f>
        <v>L</v>
      </c>
      <c r="D54" s="31" t="str">
        <f>IF(ISBLANK(B54),"",VLOOKUP(B54,Entries!$A$4:$C$70,3,FALSE))</f>
        <v>Pitsea RC Ladies</v>
      </c>
      <c r="E54" s="30">
        <f t="shared" si="1"/>
        <v>52</v>
      </c>
      <c r="F54" s="30">
        <f>IF(ISBLANK(B54),"",VLOOKUP(B54,Overall!$B$4:$AR$75,25,FALSE))</f>
        <v>277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70</v>
      </c>
      <c r="J54" s="31" t="s">
        <v>199</v>
      </c>
      <c r="K54" s="30">
        <v>231</v>
      </c>
      <c r="AA54" s="25">
        <v>52</v>
      </c>
      <c r="AB54" s="25">
        <v>68</v>
      </c>
      <c r="AC54" s="25" t="s">
        <v>0</v>
      </c>
      <c r="AD54" s="24" t="s">
        <v>197</v>
      </c>
      <c r="AE54" s="25">
        <v>52</v>
      </c>
      <c r="AF54" s="25">
        <v>277</v>
      </c>
    </row>
    <row r="55" spans="1:32" ht="15">
      <c r="A55" s="30">
        <v>53</v>
      </c>
      <c r="B55" s="30">
        <v>67</v>
      </c>
      <c r="C55" s="44" t="str">
        <f>IF(ISBLANK(B55),"",VLOOKUP(B55,Entries!$A$4:$C$70,2,FALSE))</f>
        <v>L</v>
      </c>
      <c r="D55" s="45" t="str">
        <f>IF(ISBLANK(B55),"",VLOOKUP(B55,Entries!$A$4:$C$70,3,FALSE))</f>
        <v>TGT Ladies B</v>
      </c>
      <c r="E55" s="44">
        <f t="shared" si="1"/>
        <v>53</v>
      </c>
      <c r="F55" s="44">
        <f>IF(ISBLANK(B55),"",VLOOKUP(B55,Overall!$B$4:$AR$75,25,FALSE))</f>
        <v>339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60</v>
      </c>
      <c r="J55" s="31" t="s">
        <v>184</v>
      </c>
      <c r="K55" s="30">
        <v>249</v>
      </c>
      <c r="AA55" s="25">
        <v>53</v>
      </c>
      <c r="AB55" s="25">
        <v>67</v>
      </c>
      <c r="AC55" s="25" t="s">
        <v>0</v>
      </c>
      <c r="AD55" s="24" t="s">
        <v>196</v>
      </c>
      <c r="AE55" s="25">
        <v>53</v>
      </c>
      <c r="AF55" s="25">
        <v>339</v>
      </c>
    </row>
    <row r="56" spans="1:32" ht="15">
      <c r="A56" s="30">
        <v>54</v>
      </c>
      <c r="B56" s="30">
        <v>15</v>
      </c>
      <c r="C56" s="44" t="str">
        <f>IF(ISBLANK(B56),"",VLOOKUP(B56,Entries!$A$4:$C$70,2,FALSE))</f>
        <v>A</v>
      </c>
      <c r="D56" s="45" t="str">
        <f>IF(ISBLANK(B56),"",VLOOKUP(B56,Entries!$A$4:$C$70,3,FALSE))</f>
        <v>Havering 90 A</v>
      </c>
      <c r="E56" s="44">
        <f aca="true" t="shared" si="2" ref="E56:E61">IF(ISBLANK(B56),"",A56)</f>
        <v>54</v>
      </c>
      <c r="F56" s="44">
        <f>IF(ISBLANK(B56),"",VLOOKUP(B56,Overall!$B$4:$AR$75,25,FALSE))</f>
        <v>335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68</v>
      </c>
      <c r="J56" s="31" t="s">
        <v>197</v>
      </c>
      <c r="K56" s="30">
        <v>277</v>
      </c>
      <c r="AA56" s="25">
        <v>49</v>
      </c>
      <c r="AB56" s="25">
        <v>63</v>
      </c>
      <c r="AC56" s="25" t="s">
        <v>0</v>
      </c>
      <c r="AD56" s="24" t="s">
        <v>65</v>
      </c>
      <c r="AE56" s="25">
        <v>49</v>
      </c>
      <c r="AF56" s="25">
        <v>346</v>
      </c>
    </row>
    <row r="57" spans="1:32" ht="15">
      <c r="A57" s="30">
        <v>55</v>
      </c>
      <c r="B57" s="30">
        <v>16</v>
      </c>
      <c r="C57" s="44" t="str">
        <f>IF(ISBLANK(B57),"",VLOOKUP(B57,Entries!$A$4:$C$70,2,FALSE))</f>
        <v>A</v>
      </c>
      <c r="D57" s="45" t="str">
        <f>IF(ISBLANK(B57),"",VLOOKUP(B57,Entries!$A$4:$C$70,3,FALSE))</f>
        <v>Havering 90 B</v>
      </c>
      <c r="E57" s="44">
        <f t="shared" si="2"/>
        <v>55</v>
      </c>
      <c r="F57" s="44">
        <f>IF(ISBLANK(B57),"",VLOOKUP(B57,Overall!$B$4:$AR$75,25,FALSE))</f>
        <v>294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67</v>
      </c>
      <c r="J57" s="31" t="s">
        <v>196</v>
      </c>
      <c r="K57" s="30">
        <v>339</v>
      </c>
      <c r="AA57" s="25">
        <v>10</v>
      </c>
      <c r="AB57" s="25">
        <v>50</v>
      </c>
      <c r="AC57" s="25" t="s">
        <v>2</v>
      </c>
      <c r="AD57" s="24" t="s">
        <v>44</v>
      </c>
      <c r="AE57" s="25">
        <v>10</v>
      </c>
      <c r="AF57" s="25">
        <v>82</v>
      </c>
    </row>
    <row r="58" spans="1:32" ht="15">
      <c r="A58" s="30">
        <v>56</v>
      </c>
      <c r="B58" s="30">
        <v>14</v>
      </c>
      <c r="C58" s="44" t="str">
        <f>IF(ISBLANK(B58),"",VLOOKUP(B58,Entries!$A$4:$C$70,2,FALSE))</f>
        <v>A</v>
      </c>
      <c r="D58" s="45" t="str">
        <f>IF(ISBLANK(B58),"",VLOOKUP(B58,Entries!$A$4:$C$70,3,FALSE))</f>
        <v>Mid Essex Casuals C</v>
      </c>
      <c r="E58" s="44">
        <f t="shared" si="2"/>
        <v>56</v>
      </c>
      <c r="F58" s="44">
        <f>IF(ISBLANK(B58),"",VLOOKUP(B58,Overall!$B$4:$AR$75,25,FALSE))</f>
        <v>221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63</v>
      </c>
      <c r="J58" s="45" t="s">
        <v>65</v>
      </c>
      <c r="K58" s="44">
        <v>346</v>
      </c>
      <c r="AA58" s="25">
        <v>19</v>
      </c>
      <c r="AB58" s="25">
        <v>53</v>
      </c>
      <c r="AC58" s="25" t="s">
        <v>2</v>
      </c>
      <c r="AD58" s="24" t="s">
        <v>87</v>
      </c>
      <c r="AE58" s="25">
        <v>19</v>
      </c>
      <c r="AF58" s="25">
        <v>112</v>
      </c>
    </row>
    <row r="59" spans="1:32" ht="15">
      <c r="A59" s="30">
        <v>100</v>
      </c>
      <c r="B59" s="30">
        <v>35</v>
      </c>
      <c r="C59" s="44" t="str">
        <f>IF(ISBLANK(B59),"",VLOOKUP(B59,Entries!$A$4:$C$70,2,FALSE))</f>
        <v>A</v>
      </c>
      <c r="D59" s="45" t="str">
        <f>IF(ISBLANK(B59),"",VLOOKUP(B59,Entries!$A$4:$C$70,3,FALSE))</f>
        <v>Leigh on Sea Towels by Poolside</v>
      </c>
      <c r="E59" s="44">
        <f t="shared" si="2"/>
        <v>100</v>
      </c>
      <c r="F59" s="44">
        <f>IF(ISBLANK(B59),"",VLOOKUP(B59,Overall!$B$4:$AR$75,25,FALSE))</f>
        <v>309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35</v>
      </c>
      <c r="AB59" s="25">
        <v>51</v>
      </c>
      <c r="AC59" s="25" t="s">
        <v>2</v>
      </c>
      <c r="AD59" s="24" t="s">
        <v>178</v>
      </c>
      <c r="AE59" s="25">
        <v>35</v>
      </c>
      <c r="AF59" s="25">
        <v>184</v>
      </c>
    </row>
    <row r="60" spans="1:32" ht="15">
      <c r="A60" s="30">
        <v>100</v>
      </c>
      <c r="B60" s="30">
        <v>39</v>
      </c>
      <c r="C60" s="44" t="str">
        <f>IF(ISBLANK(B60),"",VLOOKUP(B60,Entries!$A$4:$C$70,2,FALSE))</f>
        <v>A</v>
      </c>
      <c r="D60" s="45" t="str">
        <f>IF(ISBLANK(B60),"",VLOOKUP(B60,Entries!$A$4:$C$70,3,FALSE))</f>
        <v>Springfield Striders Mixed D</v>
      </c>
      <c r="E60" s="44">
        <f t="shared" si="2"/>
        <v>100</v>
      </c>
      <c r="F60" s="44">
        <f>IF(ISBLANK(B60),"",VLOOKUP(B60,Overall!$B$4:$AR$75,25,FALSE))</f>
        <v>471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7"/>
      <c r="J60" s="47"/>
      <c r="K60" s="48" t="s">
        <v>73</v>
      </c>
      <c r="AA60" s="25">
        <v>7</v>
      </c>
      <c r="AB60" s="25">
        <v>12</v>
      </c>
      <c r="AC60" s="25" t="s">
        <v>2</v>
      </c>
      <c r="AD60" s="24" t="s">
        <v>84</v>
      </c>
      <c r="AE60" s="25">
        <v>7</v>
      </c>
      <c r="AF60" s="25">
        <v>187</v>
      </c>
    </row>
    <row r="61" spans="1:32" ht="15">
      <c r="A61" s="30">
        <v>100</v>
      </c>
      <c r="B61" s="30">
        <v>41</v>
      </c>
      <c r="C61" s="30" t="str">
        <f>IF(ISBLANK(B61),"",VLOOKUP(B61,Entries!$A$4:$C$70,2,FALSE))</f>
        <v>A</v>
      </c>
      <c r="D61" s="31" t="str">
        <f>IF(ISBLANK(B61),"",VLOOKUP(B61,Entries!$A$4:$C$70,3,FALSE))</f>
        <v>Pitsea RC Mixed</v>
      </c>
      <c r="E61" s="30">
        <f t="shared" si="2"/>
        <v>100</v>
      </c>
      <c r="F61" s="30">
        <f>IF(ISBLANK(B61),"",VLOOKUP(B61,Overall!$B$4:$AR$75,25,FALSE))</f>
        <v>344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82</v>
      </c>
      <c r="AA61" s="25">
        <v>26</v>
      </c>
      <c r="AB61" s="25">
        <v>52</v>
      </c>
      <c r="AC61" s="25" t="s">
        <v>2</v>
      </c>
      <c r="AD61" s="24" t="s">
        <v>179</v>
      </c>
      <c r="AE61" s="25">
        <v>26</v>
      </c>
      <c r="AF61" s="25">
        <v>229</v>
      </c>
    </row>
    <row r="62" spans="8:11" ht="15">
      <c r="H62" s="30">
        <v>2</v>
      </c>
      <c r="I62" s="30">
        <v>53</v>
      </c>
      <c r="J62" s="31" t="s">
        <v>87</v>
      </c>
      <c r="K62" s="30">
        <v>112</v>
      </c>
    </row>
    <row r="63" spans="8:11" ht="15">
      <c r="H63" s="30">
        <v>3</v>
      </c>
      <c r="I63" s="30">
        <v>51</v>
      </c>
      <c r="J63" s="31" t="s">
        <v>178</v>
      </c>
      <c r="K63" s="30">
        <v>184</v>
      </c>
    </row>
    <row r="64" spans="8:11" ht="15">
      <c r="H64" s="30">
        <v>4</v>
      </c>
      <c r="I64" s="30">
        <v>12</v>
      </c>
      <c r="J64" s="31" t="s">
        <v>84</v>
      </c>
      <c r="K64" s="30">
        <v>187</v>
      </c>
    </row>
    <row r="65" spans="8:11" ht="15">
      <c r="H65" s="30">
        <v>5</v>
      </c>
      <c r="I65" s="30">
        <v>52</v>
      </c>
      <c r="J65" s="31" t="s">
        <v>179</v>
      </c>
      <c r="K65" s="30">
        <v>229</v>
      </c>
    </row>
    <row r="66" spans="8:11" ht="15">
      <c r="H66" s="36"/>
      <c r="I66" s="35"/>
      <c r="J66" s="35"/>
      <c r="K66" s="36"/>
    </row>
    <row r="67" spans="8:11" ht="15">
      <c r="H67" s="36"/>
      <c r="I67" s="35"/>
      <c r="J67" s="35"/>
      <c r="K67" s="36"/>
    </row>
    <row r="68" spans="8:11" ht="15">
      <c r="H68" s="36"/>
      <c r="I68" s="35"/>
      <c r="J68" s="35"/>
      <c r="K68" s="36"/>
    </row>
    <row r="69" spans="8:11" ht="15">
      <c r="H69" s="36"/>
      <c r="I69" s="35"/>
      <c r="J69" s="35"/>
      <c r="K69" s="36"/>
    </row>
    <row r="70" spans="8:11" ht="15">
      <c r="H70" s="36"/>
      <c r="I70" s="35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F7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6.7109375" style="25" hidden="1" customWidth="1"/>
    <col min="6" max="6" width="9.28125" style="25" customWidth="1"/>
    <col min="7" max="7" width="6.00390625" style="24" customWidth="1"/>
    <col min="8" max="8" width="6.140625" style="25" customWidth="1"/>
    <col min="9" max="9" width="6.140625" style="24" customWidth="1"/>
    <col min="10" max="10" width="38.57421875" style="24" bestFit="1" customWidth="1"/>
    <col min="11" max="11" width="9.28125" style="25" customWidth="1"/>
    <col min="12" max="26" width="9.140625" style="24" customWidth="1"/>
    <col min="27" max="27" width="4.28125" style="25" bestFit="1" customWidth="1"/>
    <col min="28" max="28" width="6.140625" style="25" bestFit="1" customWidth="1"/>
    <col min="29" max="29" width="4.00390625" style="25" bestFit="1" customWidth="1"/>
    <col min="30" max="30" width="22.8515625" style="24" bestFit="1" customWidth="1"/>
    <col min="31" max="31" width="3.7109375" style="25" bestFit="1" customWidth="1"/>
    <col min="32" max="32" width="9.140625" style="25" customWidth="1"/>
    <col min="33" max="16384" width="9.140625" style="24" customWidth="1"/>
  </cols>
  <sheetData>
    <row r="1" spans="1:11" ht="15">
      <c r="A1" s="75" t="str">
        <f ca="1">CONCATENATE(MID(CELL("filename",A1),FIND("]",CELL("filename",A1))+1,LEN(CELL("filename",A1))-FIND("]",CELL("filename",A1)))," Results")</f>
        <v>Stage 7 Results</v>
      </c>
      <c r="B1" s="76"/>
      <c r="C1" s="76"/>
      <c r="D1" s="76"/>
      <c r="E1" s="76"/>
      <c r="F1" s="77"/>
      <c r="H1" s="75" t="s">
        <v>72</v>
      </c>
      <c r="I1" s="76"/>
      <c r="J1" s="76"/>
      <c r="K1" s="77"/>
    </row>
    <row r="2" spans="1:32" s="28" customFormat="1" ht="15">
      <c r="A2" s="26" t="s">
        <v>209</v>
      </c>
      <c r="B2" s="26" t="s">
        <v>70</v>
      </c>
      <c r="C2" s="26" t="s">
        <v>4</v>
      </c>
      <c r="D2" s="27" t="s">
        <v>71</v>
      </c>
      <c r="E2" s="26" t="s">
        <v>7</v>
      </c>
      <c r="F2" s="26" t="s">
        <v>73</v>
      </c>
      <c r="H2" s="46" t="s">
        <v>205</v>
      </c>
      <c r="I2" s="47"/>
      <c r="J2" s="47"/>
      <c r="K2" s="48" t="s">
        <v>73</v>
      </c>
      <c r="AA2" s="29" t="s">
        <v>9</v>
      </c>
      <c r="AB2" s="29" t="s">
        <v>70</v>
      </c>
      <c r="AC2" s="29" t="s">
        <v>4</v>
      </c>
      <c r="AD2" s="28" t="s">
        <v>71</v>
      </c>
      <c r="AE2" s="29" t="s">
        <v>7</v>
      </c>
      <c r="AF2" s="29" t="s">
        <v>73</v>
      </c>
    </row>
    <row r="3" spans="1:32" ht="15">
      <c r="A3" s="30">
        <v>1</v>
      </c>
      <c r="B3" s="30">
        <v>28</v>
      </c>
      <c r="C3" s="30" t="str">
        <f>IF(ISBLANK(B3),"",VLOOKUP(B3,Entries!$A$4:$C$70,2,FALSE))</f>
        <v>A</v>
      </c>
      <c r="D3" s="31" t="str">
        <f>IF(ISBLANK(B3),"",VLOOKUP(B3,Entries!$A$4:$C$70,3,FALSE))</f>
        <v>Ilford A</v>
      </c>
      <c r="E3" s="30">
        <f aca="true" t="shared" si="0" ref="E3:E32">IF(ISBLANK(B3),"",A3)</f>
        <v>1</v>
      </c>
      <c r="F3" s="30">
        <f>IF(ISBLANK(B3),"",VLOOKUP(B3,Overall!$B$4:$AR$75,29,FALSE))</f>
        <v>32</v>
      </c>
      <c r="H3" s="30">
        <v>1</v>
      </c>
      <c r="I3" s="30">
        <v>23</v>
      </c>
      <c r="J3" s="31" t="s">
        <v>81</v>
      </c>
      <c r="K3" s="30">
        <v>15</v>
      </c>
      <c r="AA3" s="25">
        <v>2</v>
      </c>
      <c r="AB3" s="25">
        <v>23</v>
      </c>
      <c r="AC3" s="25" t="s">
        <v>3</v>
      </c>
      <c r="AD3" s="24" t="s">
        <v>81</v>
      </c>
      <c r="AE3" s="25">
        <v>2</v>
      </c>
      <c r="AF3" s="25">
        <v>15</v>
      </c>
    </row>
    <row r="4" spans="1:32" ht="15">
      <c r="A4" s="30">
        <v>2</v>
      </c>
      <c r="B4" s="30">
        <v>23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30">
        <f>IF(ISBLANK(B4),"",VLOOKUP(B4,Overall!$B$4:$AR$75,29,FALSE))</f>
        <v>15</v>
      </c>
      <c r="G4" s="25">
        <f>IF(ISBLANK($B3),"",IF($B4=$B3,"*",""))</f>
      </c>
      <c r="H4" s="30">
        <v>2</v>
      </c>
      <c r="I4" s="30">
        <v>28</v>
      </c>
      <c r="J4" s="31" t="s">
        <v>91</v>
      </c>
      <c r="K4" s="30">
        <v>32</v>
      </c>
      <c r="AA4" s="25">
        <v>1</v>
      </c>
      <c r="AB4" s="25">
        <v>28</v>
      </c>
      <c r="AC4" s="25" t="s">
        <v>3</v>
      </c>
      <c r="AD4" s="24" t="s">
        <v>91</v>
      </c>
      <c r="AE4" s="25">
        <v>1</v>
      </c>
      <c r="AF4" s="25">
        <v>32</v>
      </c>
    </row>
    <row r="5" spans="1:32" ht="15">
      <c r="A5" s="30">
        <v>3</v>
      </c>
      <c r="B5" s="30">
        <v>10</v>
      </c>
      <c r="C5" s="30" t="str">
        <f>IF(ISBLANK(B5),"",VLOOKUP(B5,Entries!$A$4:$C$70,2,FALSE))</f>
        <v>A</v>
      </c>
      <c r="D5" s="31" t="str">
        <f>IF(ISBLANK(B5),"",VLOOKUP(B5,Entries!$A$4:$C$70,3,FALSE))</f>
        <v>Colchester Harriers - Colchester Allsorts</v>
      </c>
      <c r="E5" s="30">
        <f t="shared" si="0"/>
        <v>3</v>
      </c>
      <c r="F5" s="30">
        <f>IF(ISBLANK(B5),"",VLOOKUP(B5,Overall!$B$4:$AR$75,29,FALSE))</f>
        <v>140</v>
      </c>
      <c r="G5" s="25">
        <f>IF(ISBLANK($B4),"",IF(OR($B5=$B4,$B5=$B3),"*",""))</f>
      </c>
      <c r="H5" s="30">
        <v>3</v>
      </c>
      <c r="I5" s="30">
        <v>17</v>
      </c>
      <c r="J5" s="31" t="s">
        <v>107</v>
      </c>
      <c r="K5" s="30">
        <v>39</v>
      </c>
      <c r="AA5" s="25">
        <v>4</v>
      </c>
      <c r="AB5" s="25">
        <v>17</v>
      </c>
      <c r="AC5" s="25" t="s">
        <v>3</v>
      </c>
      <c r="AD5" s="24" t="s">
        <v>107</v>
      </c>
      <c r="AE5" s="25">
        <v>4</v>
      </c>
      <c r="AF5" s="25">
        <v>39</v>
      </c>
    </row>
    <row r="6" spans="1:32" ht="15">
      <c r="A6" s="30">
        <v>4</v>
      </c>
      <c r="B6" s="30">
        <v>17</v>
      </c>
      <c r="C6" s="30" t="str">
        <f>IF(ISBLANK(B6),"",VLOOKUP(B6,Entries!$A$4:$C$70,2,FALSE))</f>
        <v>A</v>
      </c>
      <c r="D6" s="31" t="str">
        <f>IF(ISBLANK(B6),"",VLOOKUP(B6,Entries!$A$4:$C$70,3,FALSE))</f>
        <v>Benfleet Men A</v>
      </c>
      <c r="E6" s="30">
        <f t="shared" si="0"/>
        <v>4</v>
      </c>
      <c r="F6" s="30">
        <f>IF(ISBLANK(B6),"",VLOOKUP(B6,Overall!$B$4:$AR$75,29,FALSE))</f>
        <v>39</v>
      </c>
      <c r="G6" s="25">
        <f>IF(ISBLANK($B5),"",IF(OR($B6=$B5,$B6=$B4,$B6=$B3),"*",""))</f>
      </c>
      <c r="H6" s="30">
        <v>4</v>
      </c>
      <c r="I6" s="30">
        <v>31</v>
      </c>
      <c r="J6" s="31" t="s">
        <v>101</v>
      </c>
      <c r="K6" s="30">
        <v>44</v>
      </c>
      <c r="AA6" s="25">
        <v>5</v>
      </c>
      <c r="AB6" s="25">
        <v>31</v>
      </c>
      <c r="AC6" s="25" t="s">
        <v>3</v>
      </c>
      <c r="AD6" s="24" t="s">
        <v>101</v>
      </c>
      <c r="AE6" s="25">
        <v>5</v>
      </c>
      <c r="AF6" s="25">
        <v>44</v>
      </c>
    </row>
    <row r="7" spans="1:32" ht="15">
      <c r="A7" s="30">
        <v>5</v>
      </c>
      <c r="B7" s="30">
        <v>31</v>
      </c>
      <c r="C7" s="30" t="str">
        <f>IF(ISBLANK(B7),"",VLOOKUP(B7,Entries!$A$4:$C$70,2,FALSE))</f>
        <v>A</v>
      </c>
      <c r="D7" s="31" t="str">
        <f>IF(ISBLANK(B7),"",VLOOKUP(B7,Entries!$A$4:$C$70,3,FALSE))</f>
        <v>Springfield Striders Men B</v>
      </c>
      <c r="E7" s="30">
        <f t="shared" si="0"/>
        <v>5</v>
      </c>
      <c r="F7" s="30">
        <f>IF(ISBLANK(B7),"",VLOOKUP(B7,Overall!$B$4:$AR$75,29,FALSE))</f>
        <v>44</v>
      </c>
      <c r="G7" s="25">
        <f>IF(ISBLANK($B6),"",IF(OR($B7=$B6,$B7=$B5,$B7=$B4,$B7=$B3),"*",""))</f>
      </c>
      <c r="H7" s="30">
        <v>5</v>
      </c>
      <c r="I7" s="30">
        <v>9</v>
      </c>
      <c r="J7" s="31" t="s">
        <v>135</v>
      </c>
      <c r="K7" s="30">
        <v>49</v>
      </c>
      <c r="AA7" s="25">
        <v>10</v>
      </c>
      <c r="AB7" s="25">
        <v>9</v>
      </c>
      <c r="AC7" s="25" t="s">
        <v>3</v>
      </c>
      <c r="AD7" s="24" t="s">
        <v>135</v>
      </c>
      <c r="AE7" s="25">
        <v>10</v>
      </c>
      <c r="AF7" s="25">
        <v>49</v>
      </c>
    </row>
    <row r="8" spans="1:32" ht="15">
      <c r="A8" s="30">
        <v>6</v>
      </c>
      <c r="B8" s="30">
        <v>24</v>
      </c>
      <c r="C8" s="30" t="str">
        <f>IF(ISBLANK(B8),"",VLOOKUP(B8,Entries!$A$4:$C$70,2,FALSE))</f>
        <v>A</v>
      </c>
      <c r="D8" s="31" t="str">
        <f>IF(ISBLANK(B8),"",VLOOKUP(B8,Entries!$A$4:$C$70,3,FALSE))</f>
        <v>Southend Men A</v>
      </c>
      <c r="E8" s="30">
        <f t="shared" si="0"/>
        <v>6</v>
      </c>
      <c r="F8" s="30">
        <f>IF(ISBLANK(B8),"",VLOOKUP(B8,Overall!$B$4:$AR$75,29,FALSE))</f>
        <v>69</v>
      </c>
      <c r="G8" s="25">
        <f>IF(ISBLANK($B7),"",IF(OR($B8=$B7,$B8=$B6,$B8=$B5,$B8=$B4,$B8=$B3),"*",""))</f>
      </c>
      <c r="H8" s="30">
        <v>6</v>
      </c>
      <c r="I8" s="30">
        <v>21</v>
      </c>
      <c r="J8" s="31" t="s">
        <v>149</v>
      </c>
      <c r="K8" s="30">
        <v>54</v>
      </c>
      <c r="AA8" s="25">
        <v>7</v>
      </c>
      <c r="AB8" s="25">
        <v>21</v>
      </c>
      <c r="AC8" s="25" t="s">
        <v>3</v>
      </c>
      <c r="AD8" s="24" t="s">
        <v>149</v>
      </c>
      <c r="AE8" s="25">
        <v>7</v>
      </c>
      <c r="AF8" s="25">
        <v>54</v>
      </c>
    </row>
    <row r="9" spans="1:32" ht="15">
      <c r="A9" s="30">
        <v>7</v>
      </c>
      <c r="B9" s="30">
        <v>21</v>
      </c>
      <c r="C9" s="30" t="str">
        <f>IF(ISBLANK(B9),"",VLOOKUP(B9,Entries!$A$4:$C$70,2,FALSE))</f>
        <v>A</v>
      </c>
      <c r="D9" s="31" t="str">
        <f>IF(ISBLANK(B9),"",VLOOKUP(B9,Entries!$A$4:$C$70,3,FALSE))</f>
        <v>TGT Men A</v>
      </c>
      <c r="E9" s="30">
        <f t="shared" si="0"/>
        <v>7</v>
      </c>
      <c r="F9" s="30">
        <f>IF(ISBLANK(B9),"",VLOOKUP(B9,Overall!$B$4:$AR$75,29,FALSE))</f>
        <v>54</v>
      </c>
      <c r="G9" s="25">
        <f>IF(ISBLANK($B8),"",IF(OR($B9=$B8,$B9=$B7,$B9=$B6,$B9=$B5,$B9=$B4,$B9=$B3),"*",""))</f>
      </c>
      <c r="H9" s="30">
        <v>7</v>
      </c>
      <c r="I9" s="30">
        <v>32</v>
      </c>
      <c r="J9" s="31" t="s">
        <v>163</v>
      </c>
      <c r="K9" s="30">
        <v>65</v>
      </c>
      <c r="AA9" s="25">
        <v>11</v>
      </c>
      <c r="AB9" s="25">
        <v>32</v>
      </c>
      <c r="AC9" s="25" t="s">
        <v>3</v>
      </c>
      <c r="AD9" s="24" t="s">
        <v>163</v>
      </c>
      <c r="AE9" s="25">
        <v>11</v>
      </c>
      <c r="AF9" s="25">
        <v>65</v>
      </c>
    </row>
    <row r="10" spans="1:32" ht="15">
      <c r="A10" s="30">
        <v>8</v>
      </c>
      <c r="B10" s="30">
        <v>53</v>
      </c>
      <c r="C10" s="30" t="str">
        <f>IF(ISBLANK(B10),"",VLOOKUP(B10,Entries!$A$4:$C$70,2,FALSE))</f>
        <v>V</v>
      </c>
      <c r="D10" s="31" t="str">
        <f>IF(ISBLANK(B10),"",VLOOKUP(B10,Entries!$A$4:$C$70,3,FALSE))</f>
        <v>Springfield Striders Vets</v>
      </c>
      <c r="E10" s="30">
        <f t="shared" si="0"/>
        <v>8</v>
      </c>
      <c r="F10" s="30">
        <f>IF(ISBLANK(B10),"",VLOOKUP(B10,Overall!$B$4:$AR$75,29,FALSE))</f>
        <v>120</v>
      </c>
      <c r="G10" s="25">
        <f>IF(ISBLANK($B9),"",IF(OR($B10=$B9,$B10=$B8,$B10=$B7,$B10=$B6,$B10=$B5,$B10=$B4,$B10=$B3),"*",""))</f>
      </c>
      <c r="H10" s="30">
        <v>8</v>
      </c>
      <c r="I10" s="30">
        <v>24</v>
      </c>
      <c r="J10" s="31" t="s">
        <v>157</v>
      </c>
      <c r="K10" s="30">
        <v>69</v>
      </c>
      <c r="AA10" s="25">
        <v>6</v>
      </c>
      <c r="AB10" s="25">
        <v>24</v>
      </c>
      <c r="AC10" s="25" t="s">
        <v>3</v>
      </c>
      <c r="AD10" s="24" t="s">
        <v>157</v>
      </c>
      <c r="AE10" s="25">
        <v>6</v>
      </c>
      <c r="AF10" s="25">
        <v>69</v>
      </c>
    </row>
    <row r="11" spans="1:32" ht="15">
      <c r="A11" s="30">
        <v>9</v>
      </c>
      <c r="B11" s="30">
        <v>18</v>
      </c>
      <c r="C11" s="30" t="str">
        <f>IF(ISBLANK(B11),"",VLOOKUP(B11,Entries!$A$4:$C$70,2,FALSE))</f>
        <v>A</v>
      </c>
      <c r="D11" s="31" t="str">
        <f>IF(ISBLANK(B11),"",VLOOKUP(B11,Entries!$A$4:$C$70,3,FALSE))</f>
        <v>Benfleet Men B</v>
      </c>
      <c r="E11" s="30">
        <f t="shared" si="0"/>
        <v>9</v>
      </c>
      <c r="F11" s="30">
        <f>IF(ISBLANK(B11),"",VLOOKUP(B11,Overall!$B$4:$AR$75,29,FALSE))</f>
        <v>84</v>
      </c>
      <c r="G11" s="25">
        <f>IF(ISBLANK($B10),"",IF(OR($B11=$B10,$B11=$B9,$B11=$B8,$B11=$B7,$B11=$B6,$B11=$B5,$B11=$B4,$B11=$B3),"*",""))</f>
      </c>
      <c r="H11" s="30">
        <v>9</v>
      </c>
      <c r="I11" s="30">
        <v>18</v>
      </c>
      <c r="J11" s="31" t="s">
        <v>109</v>
      </c>
      <c r="K11" s="30">
        <v>84</v>
      </c>
      <c r="AA11" s="25">
        <v>9</v>
      </c>
      <c r="AB11" s="25">
        <v>18</v>
      </c>
      <c r="AC11" s="25" t="s">
        <v>3</v>
      </c>
      <c r="AD11" s="24" t="s">
        <v>109</v>
      </c>
      <c r="AE11" s="25">
        <v>9</v>
      </c>
      <c r="AF11" s="25">
        <v>84</v>
      </c>
    </row>
    <row r="12" spans="1:32" ht="15">
      <c r="A12" s="30">
        <v>10</v>
      </c>
      <c r="B12" s="30">
        <v>9</v>
      </c>
      <c r="C12" s="30" t="str">
        <f>IF(ISBLANK(B12),"",VLOOKUP(B12,Entries!$A$4:$C$70,2,FALSE))</f>
        <v>A</v>
      </c>
      <c r="D12" s="31" t="str">
        <f>IF(ISBLANK(B12),"",VLOOKUP(B12,Entries!$A$4:$C$70,3,FALSE))</f>
        <v>Leigh on Sea Striders - I liked the Boys</v>
      </c>
      <c r="E12" s="30">
        <f t="shared" si="0"/>
        <v>10</v>
      </c>
      <c r="F12" s="30">
        <f>IF(ISBLANK(B12),"",VLOOKUP(B12,Overall!$B$4:$AR$75,29,FALSE))</f>
        <v>49</v>
      </c>
      <c r="G12" s="25">
        <f>IF(ISBLANK($B12),"",IF(OR($B12=$B11,$B12=$B10,$B12=$B9,$B12=$B8,$B12=$B7,$B12=$B6,$B12=$B5,$B12=$B4,$B12=$B3),"*",""))</f>
      </c>
      <c r="H12" s="30">
        <v>10</v>
      </c>
      <c r="I12" s="30">
        <v>5</v>
      </c>
      <c r="J12" s="31" t="s">
        <v>124</v>
      </c>
      <c r="K12" s="30">
        <v>84</v>
      </c>
      <c r="AA12" s="25">
        <v>17</v>
      </c>
      <c r="AB12" s="25">
        <v>5</v>
      </c>
      <c r="AC12" s="25" t="s">
        <v>3</v>
      </c>
      <c r="AD12" s="24" t="s">
        <v>124</v>
      </c>
      <c r="AE12" s="25">
        <v>17</v>
      </c>
      <c r="AF12" s="25">
        <v>84</v>
      </c>
    </row>
    <row r="13" spans="1:32" ht="15">
      <c r="A13" s="30">
        <v>11</v>
      </c>
      <c r="B13" s="30">
        <v>32</v>
      </c>
      <c r="C13" s="30" t="str">
        <f>IF(ISBLANK(B13),"",VLOOKUP(B13,Entries!$A$4:$C$70,2,FALSE))</f>
        <v>A</v>
      </c>
      <c r="D13" s="31" t="str">
        <f>IF(ISBLANK(B13),"",VLOOKUP(B13,Entries!$A$4:$C$70,3,FALSE))</f>
        <v>Grange Farm A</v>
      </c>
      <c r="E13" s="30">
        <f t="shared" si="0"/>
        <v>11</v>
      </c>
      <c r="F13" s="30">
        <f>IF(ISBLANK(B13),"",VLOOKUP(B13,Overall!$B$4:$AR$75,29,FALSE))</f>
        <v>65</v>
      </c>
      <c r="G13" s="25">
        <f>IF(ISBLANK($B13),"",IF(OR($B13=$B12,$B13=$B11,$B13=$B10,$B13=$B9,$B13=$B8,$B13=$B7,$B13=$B6,$B13=$B5,$B13=$B4,$B13=$B3),"*",""))</f>
      </c>
      <c r="H13" s="30">
        <v>11</v>
      </c>
      <c r="I13" s="30">
        <v>36</v>
      </c>
      <c r="J13" s="31" t="s">
        <v>102</v>
      </c>
      <c r="K13" s="30">
        <v>119</v>
      </c>
      <c r="AA13" s="25">
        <v>15</v>
      </c>
      <c r="AB13" s="25">
        <v>36</v>
      </c>
      <c r="AC13" s="25" t="s">
        <v>3</v>
      </c>
      <c r="AD13" s="24" t="s">
        <v>102</v>
      </c>
      <c r="AE13" s="25">
        <v>15</v>
      </c>
      <c r="AF13" s="25">
        <v>119</v>
      </c>
    </row>
    <row r="14" spans="1:32" ht="15">
      <c r="A14" s="30">
        <v>12</v>
      </c>
      <c r="B14" s="30">
        <v>64</v>
      </c>
      <c r="C14" s="30" t="str">
        <f>IF(ISBLANK(B14),"",VLOOKUP(B14,Entries!$A$4:$C$70,2,FALSE))</f>
        <v>L</v>
      </c>
      <c r="D14" s="31" t="str">
        <f>IF(ISBLANK(B14),"",VLOOKUP(B14,Entries!$A$4:$C$70,3,FALSE))</f>
        <v>Benfleet Ladies A</v>
      </c>
      <c r="E14" s="30">
        <f t="shared" si="0"/>
        <v>12</v>
      </c>
      <c r="F14" s="30">
        <f>IF(ISBLANK(B14),"",VLOOKUP(B14,Overall!$B$4:$AR$75,29,FALSE))</f>
        <v>114</v>
      </c>
      <c r="G14" s="25">
        <f>IF(ISBLANK($B14),"",IF(OR($B14=$B13,$B14=$B12,$B14=$B11,$B14=$B10,$B14=$B9,$B14=$B8,$B14=$B7,$B14=$B6,$B14=$B5,$B14=$B4,$B14=$B3),"*",""))</f>
      </c>
      <c r="H14" s="30">
        <v>12</v>
      </c>
      <c r="I14" s="30">
        <v>26</v>
      </c>
      <c r="J14" s="31" t="s">
        <v>162</v>
      </c>
      <c r="K14" s="30">
        <v>124</v>
      </c>
      <c r="AA14" s="25">
        <v>29</v>
      </c>
      <c r="AB14" s="25">
        <v>26</v>
      </c>
      <c r="AC14" s="25" t="s">
        <v>3</v>
      </c>
      <c r="AD14" s="24" t="s">
        <v>162</v>
      </c>
      <c r="AE14" s="25">
        <v>29</v>
      </c>
      <c r="AF14" s="25">
        <v>124</v>
      </c>
    </row>
    <row r="15" spans="1:32" ht="15">
      <c r="A15" s="30">
        <v>13</v>
      </c>
      <c r="B15" s="30">
        <v>65</v>
      </c>
      <c r="C15" s="30" t="str">
        <f>IF(ISBLANK(B15),"",VLOOKUP(B15,Entries!$A$4:$C$70,2,FALSE))</f>
        <v>L</v>
      </c>
      <c r="D15" s="31" t="str">
        <f>IF(ISBLANK(B15),"",VLOOKUP(B15,Entries!$A$4:$C$70,3,FALSE))</f>
        <v>Benfleet Ladies B</v>
      </c>
      <c r="E15" s="30">
        <f t="shared" si="0"/>
        <v>13</v>
      </c>
      <c r="F15" s="30">
        <f>IF(ISBLANK(B15),"",VLOOKUP(B15,Overall!$B$4:$AR$75,29,FALSE))</f>
        <v>234</v>
      </c>
      <c r="G15" s="25">
        <f>IF(ISBLANK($B15),"",IF(OR($B15=$B14,$B15=$B13,$B15=$B12,$B15=$B11,$B15=$B10,$B15=$B9,$B15=$B8,$B15=$B7,$B15=$B6,$B15=$B5,$B15=$B4,$B15=$B3),"*",""))</f>
      </c>
      <c r="H15" s="30">
        <v>13</v>
      </c>
      <c r="I15" s="30">
        <v>10</v>
      </c>
      <c r="J15" s="31" t="s">
        <v>136</v>
      </c>
      <c r="K15" s="30">
        <v>140</v>
      </c>
      <c r="AA15" s="25">
        <v>3</v>
      </c>
      <c r="AB15" s="25">
        <v>10</v>
      </c>
      <c r="AC15" s="25" t="s">
        <v>3</v>
      </c>
      <c r="AD15" s="24" t="s">
        <v>136</v>
      </c>
      <c r="AE15" s="25">
        <v>3</v>
      </c>
      <c r="AF15" s="25">
        <v>140</v>
      </c>
    </row>
    <row r="16" spans="1:32" ht="15">
      <c r="A16" s="30">
        <v>14</v>
      </c>
      <c r="B16" s="30">
        <v>51</v>
      </c>
      <c r="C16" s="30" t="str">
        <f>IF(ISBLANK(B16),"",VLOOKUP(B16,Entries!$A$4:$C$70,2,FALSE))</f>
        <v>V</v>
      </c>
      <c r="D16" s="31" t="str">
        <f>IF(ISBLANK(B16),"",VLOOKUP(B16,Entries!$A$4:$C$70,3,FALSE))</f>
        <v>Ilford Vets</v>
      </c>
      <c r="E16" s="30">
        <f t="shared" si="0"/>
        <v>14</v>
      </c>
      <c r="F16" s="30">
        <f>IF(ISBLANK(B16),"",VLOOKUP(B16,Overall!$B$4:$AR$75,29,FALSE))</f>
        <v>198</v>
      </c>
      <c r="G16" s="25">
        <f>IF(ISBLANK($B16),"",IF(OR($B16=$B15,$B16=$B14,$B16=$B13,$B16=$B12,$B16=$B11,$B16=$B10,$B16=$B9,$B16=$B8,$B16=$B7,$B16=$B6,$B16=$B5,$B16=$B4,$B16=$B3),"*",""))</f>
      </c>
      <c r="H16" s="30">
        <v>14</v>
      </c>
      <c r="I16" s="30">
        <v>7</v>
      </c>
      <c r="J16" s="31" t="s">
        <v>129</v>
      </c>
      <c r="K16" s="30">
        <v>146</v>
      </c>
      <c r="AA16" s="25">
        <v>20</v>
      </c>
      <c r="AB16" s="25">
        <v>7</v>
      </c>
      <c r="AC16" s="25" t="s">
        <v>3</v>
      </c>
      <c r="AD16" s="24" t="s">
        <v>129</v>
      </c>
      <c r="AE16" s="25">
        <v>20</v>
      </c>
      <c r="AF16" s="25">
        <v>146</v>
      </c>
    </row>
    <row r="17" spans="1:32" ht="15">
      <c r="A17" s="30">
        <v>15</v>
      </c>
      <c r="B17" s="30">
        <v>36</v>
      </c>
      <c r="C17" s="30" t="str">
        <f>IF(ISBLANK(B17),"",VLOOKUP(B17,Entries!$A$4:$C$70,2,FALSE))</f>
        <v>A</v>
      </c>
      <c r="D17" s="31" t="str">
        <f>IF(ISBLANK(B17),"",VLOOKUP(B17,Entries!$A$4:$C$70,3,FALSE))</f>
        <v>Springfield Striders Mixed A</v>
      </c>
      <c r="E17" s="30">
        <f t="shared" si="0"/>
        <v>15</v>
      </c>
      <c r="F17" s="30">
        <f>IF(ISBLANK(B17),"",VLOOKUP(B17,Overall!$B$4:$AR$75,29,FALSE))</f>
        <v>119</v>
      </c>
      <c r="G17" s="25">
        <f>IF(ISBLANK($B17),"",IF(OR($B17=$B16,$B17=$B15,$B17=$B14,$B17=$B13,$B17=$B12,$B17=$B11,$B17=$B10,$B17=$B9,$B17=$B8,$B17=$B7,$B17=$B6,$B17=$B5,$B17=$B4,$B17=$B3),"*",""))</f>
      </c>
      <c r="H17" s="30">
        <v>15</v>
      </c>
      <c r="I17" s="30">
        <v>25</v>
      </c>
      <c r="J17" s="31" t="s">
        <v>160</v>
      </c>
      <c r="K17" s="30">
        <v>159</v>
      </c>
      <c r="AA17" s="25">
        <v>36</v>
      </c>
      <c r="AB17" s="25">
        <v>25</v>
      </c>
      <c r="AC17" s="25" t="s">
        <v>3</v>
      </c>
      <c r="AD17" s="24" t="s">
        <v>160</v>
      </c>
      <c r="AE17" s="25">
        <v>36</v>
      </c>
      <c r="AF17" s="25">
        <v>159</v>
      </c>
    </row>
    <row r="18" spans="1:32" ht="15">
      <c r="A18" s="30">
        <v>16</v>
      </c>
      <c r="B18" s="30">
        <v>29</v>
      </c>
      <c r="C18" s="30" t="str">
        <f>IF(ISBLANK(B18),"",VLOOKUP(B18,Entries!$A$4:$C$70,2,FALSE))</f>
        <v>A</v>
      </c>
      <c r="D18" s="31" t="str">
        <f>IF(ISBLANK(B18),"",VLOOKUP(B18,Entries!$A$4:$C$70,3,FALSE))</f>
        <v>Ilford B</v>
      </c>
      <c r="E18" s="30">
        <f t="shared" si="0"/>
        <v>16</v>
      </c>
      <c r="F18" s="30">
        <f>IF(ISBLANK(B18),"",VLOOKUP(B18,Overall!$B$4:$AR$75,29,FALSE))</f>
        <v>233</v>
      </c>
      <c r="G18" s="25">
        <f>IF(ISBLANK($B18),"",IF(OR($B18=$B17,$B18=$B16,$B18=$B15,$B18=$B14,$B18=$B13,$B18=$B12,$B18=$B11,$B18=$B10,$B18=$B9,$B18=$B8,$B18=$B7,$B18=$B6,$B18=$B5,$B18=$B4,$B18=$B3),"*",""))</f>
      </c>
      <c r="H18" s="30">
        <v>16</v>
      </c>
      <c r="I18" s="30">
        <v>13</v>
      </c>
      <c r="J18" s="31" t="s">
        <v>85</v>
      </c>
      <c r="K18" s="30">
        <v>182</v>
      </c>
      <c r="AA18" s="25">
        <v>39</v>
      </c>
      <c r="AB18" s="25">
        <v>13</v>
      </c>
      <c r="AC18" s="25" t="s">
        <v>3</v>
      </c>
      <c r="AD18" s="24" t="s">
        <v>85</v>
      </c>
      <c r="AE18" s="25">
        <v>39</v>
      </c>
      <c r="AF18" s="25">
        <v>182</v>
      </c>
    </row>
    <row r="19" spans="1:32" ht="15">
      <c r="A19" s="30">
        <v>17</v>
      </c>
      <c r="B19" s="30">
        <v>5</v>
      </c>
      <c r="C19" s="30" t="str">
        <f>IF(ISBLANK(B19),"",VLOOKUP(B19,Entries!$A$4:$C$70,2,FALSE))</f>
        <v>A</v>
      </c>
      <c r="D19" s="31" t="str">
        <f>IF(ISBLANK(B19),"",VLOOKUP(B19,Entries!$A$4:$C$70,3,FALSE))</f>
        <v>Tiptree Men</v>
      </c>
      <c r="E19" s="30">
        <f t="shared" si="0"/>
        <v>17</v>
      </c>
      <c r="F19" s="30">
        <f>IF(ISBLANK(B19),"",VLOOKUP(B19,Overall!$B$4:$AR$75,29,FALSE))</f>
        <v>84</v>
      </c>
      <c r="G19" s="25">
        <f>IF(ISBLANK($B19),"",IF(OR($B19=$B18,$B19=$B17,$B19=$B16,$B19=$B15,$B19=$B14,$B19=$B13,$B19=$B12,$B19=$B11,$B19=$B10,$B19=$B9,$B19=$B8,$B19=$B7,$B19=$B6,$B19=$B5,$B19=$B4,$B19=$B3),"*",""))</f>
      </c>
      <c r="H19" s="30">
        <v>17</v>
      </c>
      <c r="I19" s="30">
        <v>33</v>
      </c>
      <c r="J19" s="31" t="s">
        <v>166</v>
      </c>
      <c r="K19" s="30">
        <v>184</v>
      </c>
      <c r="AA19" s="25">
        <v>54</v>
      </c>
      <c r="AB19" s="25">
        <v>33</v>
      </c>
      <c r="AC19" s="25" t="s">
        <v>3</v>
      </c>
      <c r="AD19" s="24" t="s">
        <v>166</v>
      </c>
      <c r="AE19" s="25">
        <v>54</v>
      </c>
      <c r="AF19" s="25">
        <v>184</v>
      </c>
    </row>
    <row r="20" spans="1:32" ht="15">
      <c r="A20" s="30">
        <v>18</v>
      </c>
      <c r="B20" s="30">
        <v>35</v>
      </c>
      <c r="C20" s="30" t="str">
        <f>IF(ISBLANK(B20),"",VLOOKUP(B20,Entries!$A$4:$C$70,2,FALSE))</f>
        <v>A</v>
      </c>
      <c r="D20" s="31" t="str">
        <f>IF(ISBLANK(B20),"",VLOOKUP(B20,Entries!$A$4:$C$70,3,FALSE))</f>
        <v>Leigh on Sea Towels by Poolside</v>
      </c>
      <c r="E20" s="30">
        <f t="shared" si="0"/>
        <v>18</v>
      </c>
      <c r="F20" s="30">
        <f>IF(ISBLANK(B20),"",VLOOKUP(B20,Overall!$B$4:$AR$75,29,FALSE))</f>
        <v>327</v>
      </c>
      <c r="G20" s="25">
        <f>IF(ISBLANK($B20),"",IF(OR($B20=$B19,$B20=$B18,$B20=$B17,$B20=$B16,$B20=$B15,$B20=$B14,$B20=$B13,$B20=$B12,$B20=$B11,$B20=$B10,$B20=$B9,$B20=$B8,$B20=$B7,$B20=$B6,$B20=$B5,$B20=$B4,$B20=$B3),"*",""))</f>
      </c>
      <c r="H20" s="30">
        <v>18</v>
      </c>
      <c r="I20" s="30">
        <v>37</v>
      </c>
      <c r="J20" s="31" t="s">
        <v>103</v>
      </c>
      <c r="K20" s="30">
        <v>190</v>
      </c>
      <c r="AA20" s="25">
        <v>25</v>
      </c>
      <c r="AB20" s="25">
        <v>37</v>
      </c>
      <c r="AC20" s="25" t="s">
        <v>3</v>
      </c>
      <c r="AD20" s="24" t="s">
        <v>103</v>
      </c>
      <c r="AE20" s="25">
        <v>25</v>
      </c>
      <c r="AF20" s="25">
        <v>190</v>
      </c>
    </row>
    <row r="21" spans="1:32" ht="15">
      <c r="A21" s="30">
        <v>19</v>
      </c>
      <c r="B21" s="30">
        <v>69</v>
      </c>
      <c r="C21" s="30" t="str">
        <f>IF(ISBLANK(B21),"",VLOOKUP(B21,Entries!$A$4:$C$70,2,FALSE))</f>
        <v>L</v>
      </c>
      <c r="D21" s="31" t="str">
        <f>IF(ISBLANK(B21),"",VLOOKUP(B21,Entries!$A$4:$C$70,3,FALSE))</f>
        <v>Southend Ladies</v>
      </c>
      <c r="E21" s="30">
        <f t="shared" si="0"/>
        <v>19</v>
      </c>
      <c r="F21" s="30">
        <f>IF(ISBLANK(B21),"",VLOOKUP(B21,Overall!$B$4:$AR$75,29,FALSE))</f>
        <v>198</v>
      </c>
      <c r="G21" s="25">
        <f>IF(ISBLANK($B21),"",IF(OR($B21=$B20,$B21=$B19,$B21=$B18,$B21=$B17,$B21=$B16,$B21=$B15,$B21=$B14,$B21=$B13,$B21=$B12,$B21=$B11,$B21=$B10,$B21=$B9,$B21=$B8,$B21=$B7,$B21=$B6,$B21=$B5,$B21=$B4,$B21=$B3),"*",""))</f>
      </c>
      <c r="H21" s="30">
        <v>19</v>
      </c>
      <c r="I21" s="30">
        <v>19</v>
      </c>
      <c r="J21" s="31" t="s">
        <v>110</v>
      </c>
      <c r="K21" s="30">
        <v>202</v>
      </c>
      <c r="AA21" s="25">
        <v>23</v>
      </c>
      <c r="AB21" s="25">
        <v>19</v>
      </c>
      <c r="AC21" s="25" t="s">
        <v>3</v>
      </c>
      <c r="AD21" s="24" t="s">
        <v>110</v>
      </c>
      <c r="AE21" s="25">
        <v>23</v>
      </c>
      <c r="AF21" s="25">
        <v>202</v>
      </c>
    </row>
    <row r="22" spans="1:32" ht="15">
      <c r="A22" s="30">
        <v>20</v>
      </c>
      <c r="B22" s="30">
        <v>7</v>
      </c>
      <c r="C22" s="30" t="str">
        <f>IF(ISBLANK(B22),"",VLOOKUP(B22,Entries!$A$4:$C$70,2,FALSE))</f>
        <v>A</v>
      </c>
      <c r="D22" s="31" t="str">
        <f>IF(ISBLANK(B22),"",VLOOKUP(B22,Entries!$A$4:$C$70,3,FALSE))</f>
        <v>Halstead Road Runners</v>
      </c>
      <c r="E22" s="30">
        <f t="shared" si="0"/>
        <v>20</v>
      </c>
      <c r="F22" s="30">
        <f>IF(ISBLANK(B22),"",VLOOKUP(B22,Overall!$B$4:$AR$75,29,FALSE))</f>
        <v>146</v>
      </c>
      <c r="G22" s="25">
        <f>IF(ISBLANK($B22),"",IF(OR($B22=$B21,$B22=$B20,$B22=$B19,$B22=$B18,$B22=$B17,$B22=$B16,$B22=$B15,$B22=$B14,$B22=$B13,$B22=$B12,$B22=$B11,$B22=$B10,$B22=$B9,$B22=$B8,$B22=$B7,$B22=$B6,$B22=$B5,$B22=$B4,$B22=$B3),"*",""))</f>
      </c>
      <c r="H22" s="30">
        <v>20</v>
      </c>
      <c r="I22" s="30">
        <v>1</v>
      </c>
      <c r="J22" s="31" t="s">
        <v>117</v>
      </c>
      <c r="K22" s="30">
        <v>223</v>
      </c>
      <c r="AA22" s="25">
        <v>30</v>
      </c>
      <c r="AB22" s="25">
        <v>1</v>
      </c>
      <c r="AC22" s="25" t="s">
        <v>3</v>
      </c>
      <c r="AD22" s="24" t="s">
        <v>117</v>
      </c>
      <c r="AE22" s="25">
        <v>30</v>
      </c>
      <c r="AF22" s="25">
        <v>223</v>
      </c>
    </row>
    <row r="23" spans="1:32" ht="15">
      <c r="A23" s="30">
        <v>21</v>
      </c>
      <c r="B23" s="30">
        <v>50</v>
      </c>
      <c r="C23" s="30" t="str">
        <f>IF(ISBLANK(B23),"",VLOOKUP(B23,Entries!$A$4:$C$70,2,FALSE))</f>
        <v>V</v>
      </c>
      <c r="D23" s="31" t="str">
        <f>IF(ISBLANK(B23),"",VLOOKUP(B23,Entries!$A$4:$C$70,3,FALSE))</f>
        <v>Harwich Runners Vets</v>
      </c>
      <c r="E23" s="30">
        <f t="shared" si="0"/>
        <v>21</v>
      </c>
      <c r="F23" s="30">
        <f>IF(ISBLANK(B23),"",VLOOKUP(B23,Overall!$B$4:$AR$75,29,FALSE))</f>
        <v>103</v>
      </c>
      <c r="G23" s="25">
        <f>IF(ISBLANK($B23),"",IF(OR($B23=$B22,$B23=$B21,$B23=$B20,$B23=$B19,$B23=$B18,$B23=$B17,$B23=$B16,$B23=$B15,$B23=$B14,$B23=$B13,$B23=$B12,$B23=$B11,$B23=$B10,$B23=$B9,$B3=$B8,$B23=$B7,$B23=$B6,$B23=$B5,$B23=$B4,$B23=$B3),"*",""))</f>
      </c>
      <c r="H23" s="30">
        <v>21</v>
      </c>
      <c r="I23" s="30">
        <v>29</v>
      </c>
      <c r="J23" s="31" t="s">
        <v>92</v>
      </c>
      <c r="K23" s="30">
        <v>233</v>
      </c>
      <c r="AA23" s="25">
        <v>16</v>
      </c>
      <c r="AB23" s="25">
        <v>29</v>
      </c>
      <c r="AC23" s="25" t="s">
        <v>3</v>
      </c>
      <c r="AD23" s="24" t="s">
        <v>92</v>
      </c>
      <c r="AE23" s="25">
        <v>16</v>
      </c>
      <c r="AF23" s="25">
        <v>233</v>
      </c>
    </row>
    <row r="24" spans="1:32" ht="15">
      <c r="A24" s="30">
        <v>22</v>
      </c>
      <c r="B24" s="30">
        <v>3</v>
      </c>
      <c r="C24" s="30" t="str">
        <f>IF(ISBLANK(B24),"",VLOOKUP(B24,Entries!$A$4:$C$70,2,FALSE))</f>
        <v>A</v>
      </c>
      <c r="D24" s="31" t="str">
        <f>IF(ISBLANK(B24),"",VLOOKUP(B24,Entries!$A$4:$C$70,3,FALSE))</f>
        <v>Tiptree A</v>
      </c>
      <c r="E24" s="30">
        <f t="shared" si="0"/>
        <v>22</v>
      </c>
      <c r="F24" s="30">
        <f>IF(ISBLANK(B24),"",VLOOKUP(B24,Overall!$B$4:$AR$75,29,FALSE))</f>
        <v>292</v>
      </c>
      <c r="G24" s="25">
        <f>IF(ISBLANK($B24),"",IF(OR($B24=$B23,$B24=$B22,$B24=$B21,$B24=$B20,$B24=$B19,$B24=$B18,$B24=$B17,$B24=$B16,$B24=$B15,$B24=$B14,$B24=$B13,$B24=$B12,$B24=$B11,$B24=$B10,$B24=$B9,$B24=$B8,$B24=$B7,$B24=$B6,$B24=$B5,$B24=$B4,$B24=$B3),"*",""))</f>
      </c>
      <c r="H24" s="30">
        <v>22</v>
      </c>
      <c r="I24" s="30">
        <v>6</v>
      </c>
      <c r="J24" s="31" t="s">
        <v>127</v>
      </c>
      <c r="K24" s="30">
        <v>238</v>
      </c>
      <c r="AA24" s="25">
        <v>28</v>
      </c>
      <c r="AB24" s="25">
        <v>6</v>
      </c>
      <c r="AC24" s="25" t="s">
        <v>3</v>
      </c>
      <c r="AD24" s="24" t="s">
        <v>127</v>
      </c>
      <c r="AE24" s="25">
        <v>28</v>
      </c>
      <c r="AF24" s="25">
        <v>238</v>
      </c>
    </row>
    <row r="25" spans="1:32" ht="15">
      <c r="A25" s="30">
        <v>23</v>
      </c>
      <c r="B25" s="30">
        <v>19</v>
      </c>
      <c r="C25" s="30" t="str">
        <f>IF(ISBLANK(B25),"",VLOOKUP(B25,Entries!$A$4:$C$70,2,FALSE))</f>
        <v>A</v>
      </c>
      <c r="D25" s="31" t="str">
        <f>IF(ISBLANK(B25),"",VLOOKUP(B25,Entries!$A$4:$C$70,3,FALSE))</f>
        <v>Benfleet Men C</v>
      </c>
      <c r="E25" s="30">
        <f t="shared" si="0"/>
        <v>23</v>
      </c>
      <c r="F25" s="30">
        <f>IF(ISBLANK(B25),"",VLOOKUP(B25,Overall!$B$4:$AR$75,29,FALSE))</f>
        <v>202</v>
      </c>
      <c r="G25" s="25">
        <f>IF(ISBLANK($B25),"",IF(OR($B25=$B24,$B25=$B23,$B25=$B22,$B25=$B21,$B25=$B20,$B25=$B19,$B25=$B18,$B25=$B17,$B25=$B16,$B25=$B15,$B25=$B14,$B25=$B13,$B25=$B12,$B25=$B11,$B25=$B10,$B25=$B9,$B25=$B8,$B25=$B7,$B25=$B6,$B25=$B5,$B25=$B4,$B25=$B3),"*",""))</f>
      </c>
      <c r="H25" s="30">
        <v>23</v>
      </c>
      <c r="I25" s="30">
        <v>2</v>
      </c>
      <c r="J25" s="31" t="s">
        <v>98</v>
      </c>
      <c r="K25" s="30">
        <v>241</v>
      </c>
      <c r="AA25" s="25">
        <v>24</v>
      </c>
      <c r="AB25" s="25">
        <v>2</v>
      </c>
      <c r="AC25" s="25" t="s">
        <v>3</v>
      </c>
      <c r="AD25" s="24" t="s">
        <v>98</v>
      </c>
      <c r="AE25" s="25">
        <v>24</v>
      </c>
      <c r="AF25" s="25">
        <v>241</v>
      </c>
    </row>
    <row r="26" spans="1:32" ht="15">
      <c r="A26" s="30">
        <v>24</v>
      </c>
      <c r="B26" s="30">
        <v>2</v>
      </c>
      <c r="C26" s="30" t="str">
        <f>IF(ISBLANK(B26),"",VLOOKUP(B26,Entries!$A$4:$C$70,2,FALSE))</f>
        <v>A</v>
      </c>
      <c r="D26" s="31" t="str">
        <f>IF(ISBLANK(B26),"",VLOOKUP(B26,Entries!$A$4:$C$70,3,FALSE))</f>
        <v>Thurrock Nomads A</v>
      </c>
      <c r="E26" s="30">
        <f t="shared" si="0"/>
        <v>24</v>
      </c>
      <c r="F26" s="30">
        <f>IF(ISBLANK(B26),"",VLOOKUP(B26,Overall!$B$4:$AR$75,29,FALSE))</f>
        <v>241</v>
      </c>
      <c r="G26" s="25">
        <f>IF(ISBLANK($B26),"",IF(OR($B26=$B25,$B26=$B24,$B26=$B23,$B26=$B22,$B26=$B21,$B26=$B20,$B26=$B19,$B26=$B18,$B26=$B17,$B26=$B16,$B26=$B15,$B26=$B14,$B26=$B13,$B26=$B12,$B26=$B11,$B26=$B10,$B26=$B9,$B26=$B8,$B26=$B7,$B26=$B6,$B26=$B5,$B26=$B4,$B26=$B3),"*",""))</f>
      </c>
      <c r="H26" s="30">
        <v>24</v>
      </c>
      <c r="I26" s="30">
        <v>40</v>
      </c>
      <c r="J26" s="31" t="s">
        <v>173</v>
      </c>
      <c r="K26" s="30">
        <v>254</v>
      </c>
      <c r="AA26" s="25">
        <v>46</v>
      </c>
      <c r="AB26" s="25">
        <v>40</v>
      </c>
      <c r="AC26" s="25" t="s">
        <v>3</v>
      </c>
      <c r="AD26" s="24" t="s">
        <v>173</v>
      </c>
      <c r="AE26" s="25">
        <v>46</v>
      </c>
      <c r="AF26" s="25">
        <v>254</v>
      </c>
    </row>
    <row r="27" spans="1:32" ht="15">
      <c r="A27" s="30">
        <v>25</v>
      </c>
      <c r="B27" s="30">
        <v>37</v>
      </c>
      <c r="C27" s="30" t="str">
        <f>IF(ISBLANK(B27),"",VLOOKUP(B27,Entries!$A$4:$C$70,2,FALSE))</f>
        <v>A</v>
      </c>
      <c r="D27" s="31" t="str">
        <f>IF(ISBLANK(B27),"",VLOOKUP(B27,Entries!$A$4:$C$70,3,FALSE))</f>
        <v>Springfield Striders Mixed B</v>
      </c>
      <c r="E27" s="30">
        <f t="shared" si="0"/>
        <v>25</v>
      </c>
      <c r="F27" s="30">
        <f>IF(ISBLANK(B27),"",VLOOKUP(B27,Overall!$B$4:$AR$75,29,FALSE))</f>
        <v>190</v>
      </c>
      <c r="G27" s="25">
        <f>IF(ISBLANK($B27),"",IF(OR($B27=$B26,$B27=$B25,$B27=$B24,$B27=$B23,$B27=$B22,$B27=$B21,$B27=$B20,$B27=$B19,$B27=$B18,$B27=$B17,$B27=$B16,$B27=$B15,$B27=$B14,$B27=$B13,$B27=$B12,$B27=$B11,$B27=$B10,$B27=$B9,$B27=$B8,$B27=$B7,$B27=$B6,$B27=$B5,$B27=$B4,$B27=$B3),"*",""))</f>
      </c>
      <c r="H27" s="30">
        <v>25</v>
      </c>
      <c r="I27" s="30">
        <v>22</v>
      </c>
      <c r="J27" s="31" t="s">
        <v>152</v>
      </c>
      <c r="K27" s="30">
        <v>256</v>
      </c>
      <c r="AA27" s="25">
        <v>38</v>
      </c>
      <c r="AB27" s="25">
        <v>22</v>
      </c>
      <c r="AC27" s="25" t="s">
        <v>3</v>
      </c>
      <c r="AD27" s="24" t="s">
        <v>152</v>
      </c>
      <c r="AE27" s="25">
        <v>38</v>
      </c>
      <c r="AF27" s="25">
        <v>256</v>
      </c>
    </row>
    <row r="28" spans="1:32" ht="15">
      <c r="A28" s="30">
        <v>26</v>
      </c>
      <c r="B28" s="30">
        <v>30</v>
      </c>
      <c r="C28" s="30" t="str">
        <f>IF(ISBLANK(B28),"",VLOOKUP(B28,Entries!$A$4:$C$70,2,FALSE))</f>
        <v>A</v>
      </c>
      <c r="D28" s="31" t="str">
        <f>IF(ISBLANK(B28),"",VLOOKUP(B28,Entries!$A$4:$C$70,3,FALSE))</f>
        <v>Witham Running Club</v>
      </c>
      <c r="E28" s="30">
        <f t="shared" si="0"/>
        <v>26</v>
      </c>
      <c r="F28" s="30">
        <f>IF(ISBLANK(B28),"",VLOOKUP(B28,Overall!$B$4:$AR$75,29,FALSE))</f>
        <v>287</v>
      </c>
      <c r="G28" s="25">
        <f>IF(ISBLANK($B29),"",IF(OR($B28=$B27,$B28=$B26,$B28=$B25,$B28=$B24,$B28=$B23,$B28=$B22,$B28=$B21,$B28=$B20,$B28=$B19,$B28=$B18,$B28=$B17,$B28=$B16,$B28=$B15,$B28=$B14,$B28=$B13,$B28=$B12,$B28=$B11,$B28=$B10,$B28=$B9,$B28=$B8,$B28=$B7,$B28=$B6,$B28=$B5,$B28=$B4,$B28=$B3),"*",""))</f>
      </c>
      <c r="H28" s="30">
        <v>26</v>
      </c>
      <c r="I28" s="30">
        <v>14</v>
      </c>
      <c r="J28" s="31" t="s">
        <v>141</v>
      </c>
      <c r="K28" s="30">
        <v>261</v>
      </c>
      <c r="AA28" s="25">
        <v>40</v>
      </c>
      <c r="AB28" s="25">
        <v>14</v>
      </c>
      <c r="AC28" s="25" t="s">
        <v>3</v>
      </c>
      <c r="AD28" s="24" t="s">
        <v>141</v>
      </c>
      <c r="AE28" s="25">
        <v>40</v>
      </c>
      <c r="AF28" s="25">
        <v>261</v>
      </c>
    </row>
    <row r="29" spans="1:32" ht="15">
      <c r="A29" s="30">
        <v>27</v>
      </c>
      <c r="B29" s="30">
        <v>16</v>
      </c>
      <c r="C29" s="30" t="str">
        <f>IF(ISBLANK(B29),"",VLOOKUP(B29,Entries!$A$4:$C$70,2,FALSE))</f>
        <v>A</v>
      </c>
      <c r="D29" s="31" t="str">
        <f>IF(ISBLANK(B29),"",VLOOKUP(B29,Entries!$A$4:$C$70,3,FALSE))</f>
        <v>Havering 90 B</v>
      </c>
      <c r="E29" s="30">
        <f t="shared" si="0"/>
        <v>27</v>
      </c>
      <c r="F29" s="30">
        <f>IF(ISBLANK(B29),"",VLOOKUP(B29,Overall!$B$4:$AR$75,29,FALSE))</f>
        <v>321</v>
      </c>
      <c r="G29" s="25">
        <f>IF(ISBLANK($B29),"",IF(OR($B29=$B28,$B29=$B27,$B29=$B26,$B29=$B25,$B29=$B24,$B29=$B23,$B29=$B22,$B29=$B21,$B29=$B20,$B29=$B19,$B29=$B18,$B29=$B17,$B29=$B16,$B29=$B15,$B29=$B14,$B29=$B13,$B29=$B12,$B29=$B11,$B29=$B10,$B29=$B9,$B29=$B8,$B29=$B7,$B29=$B6,$B29=$B5,$B29=$B4,$B29=$B3),"*",""))</f>
      </c>
      <c r="H29" s="30">
        <v>27</v>
      </c>
      <c r="I29" s="30">
        <v>34</v>
      </c>
      <c r="J29" s="31" t="s">
        <v>167</v>
      </c>
      <c r="K29" s="30">
        <v>262</v>
      </c>
      <c r="AA29" s="25">
        <v>55</v>
      </c>
      <c r="AB29" s="25">
        <v>34</v>
      </c>
      <c r="AC29" s="25" t="s">
        <v>3</v>
      </c>
      <c r="AD29" s="24" t="s">
        <v>167</v>
      </c>
      <c r="AE29" s="25">
        <v>55</v>
      </c>
      <c r="AF29" s="25">
        <v>262</v>
      </c>
    </row>
    <row r="30" spans="1:32" ht="15">
      <c r="A30" s="30">
        <v>28</v>
      </c>
      <c r="B30" s="30">
        <v>6</v>
      </c>
      <c r="C30" s="30" t="str">
        <f>IF(ISBLANK(B30),"",VLOOKUP(B30,Entries!$A$4:$C$70,2,FALSE))</f>
        <v>A</v>
      </c>
      <c r="D30" s="31" t="str">
        <f>IF(ISBLANK(B30),"",VLOOKUP(B30,Entries!$A$4:$C$70,3,FALSE))</f>
        <v>Thurrock Nomads B - The Z list</v>
      </c>
      <c r="E30" s="30">
        <f t="shared" si="0"/>
        <v>28</v>
      </c>
      <c r="F30" s="30">
        <f>IF(ISBLANK(B30),"",VLOOKUP(B30,Overall!$B$4:$AR$75,29,FALSE))</f>
        <v>238</v>
      </c>
      <c r="G30" s="25">
        <f>IF(ISBLANK($B30),"",IF(OR($B30=$B29,$B30=$B28,$B30=$B27,$B30=$B26,$B30=$B25,$B30=$B24,$B30=$B23,$B30=$B22,$B30=$B21,$B30=$B20,$B30=$B19,$B30=$B18,$B30=$B17,$B30=$B16,$B30=$B15,$B30=$B14,$B30=$B13,$B30=$B12,$B30=$B11,$B30=$B10,$B30=$B9,$B30=$B8,$B30=$B7,$B30=$B6,$B30=$B5,$B30=$B4,$B30=$B3),"*",""))</f>
      </c>
      <c r="H30" s="30">
        <v>28</v>
      </c>
      <c r="I30" s="30">
        <v>38</v>
      </c>
      <c r="J30" s="31" t="s">
        <v>104</v>
      </c>
      <c r="K30" s="30">
        <v>277</v>
      </c>
      <c r="AA30" s="25">
        <v>33</v>
      </c>
      <c r="AB30" s="25">
        <v>38</v>
      </c>
      <c r="AC30" s="25" t="s">
        <v>3</v>
      </c>
      <c r="AD30" s="24" t="s">
        <v>104</v>
      </c>
      <c r="AE30" s="25">
        <v>33</v>
      </c>
      <c r="AF30" s="25">
        <v>277</v>
      </c>
    </row>
    <row r="31" spans="1:32" ht="15">
      <c r="A31" s="30">
        <v>29</v>
      </c>
      <c r="B31" s="30">
        <v>26</v>
      </c>
      <c r="C31" s="30" t="str">
        <f>IF(ISBLANK(B31),"",VLOOKUP(B31,Entries!$A$4:$C$70,2,FALSE))</f>
        <v>A</v>
      </c>
      <c r="D31" s="31" t="str">
        <f>IF(ISBLANK(B31),"",VLOOKUP(B31,Entries!$A$4:$C$70,3,FALSE))</f>
        <v>Harwich Runners Men</v>
      </c>
      <c r="E31" s="30">
        <f t="shared" si="0"/>
        <v>29</v>
      </c>
      <c r="F31" s="30">
        <f>IF(ISBLANK(B31),"",VLOOKUP(B31,Overall!$B$4:$AR$75,29,FALSE))</f>
        <v>124</v>
      </c>
      <c r="G31" s="25">
        <f>IF(ISBLANK($B31),"",IF(OR($B31=$B30,$B31=$B29,$B31=$B28,$B31=$B27,$B31=$B26,$B31=$B25,$B31=$B24,$B31=$B23,$B31=$B22,$B31=$B21,$B31=$B20,$B31=$B19,$B31=$B18,$B31=$B17,$B31=$B16,$B31=$B15,$B31=$B14,$B31=$B13,$B31=$B12,$B31=$B11,$B31=$B10,$B31=$B9,$B31=$B8,$B31=$B7,$B31=$B6,$B31=$B5,$B31=$B4,$B31=$B3),"*",""))</f>
      </c>
      <c r="H31" s="30">
        <v>29</v>
      </c>
      <c r="I31" s="30">
        <v>8</v>
      </c>
      <c r="J31" s="31" t="s">
        <v>132</v>
      </c>
      <c r="K31" s="30">
        <v>279</v>
      </c>
      <c r="AA31" s="25">
        <v>48</v>
      </c>
      <c r="AB31" s="25">
        <v>8</v>
      </c>
      <c r="AC31" s="25" t="s">
        <v>3</v>
      </c>
      <c r="AD31" s="24" t="s">
        <v>132</v>
      </c>
      <c r="AE31" s="25">
        <v>48</v>
      </c>
      <c r="AF31" s="25">
        <v>279</v>
      </c>
    </row>
    <row r="32" spans="1:32" ht="15">
      <c r="A32" s="30">
        <v>30</v>
      </c>
      <c r="B32" s="30">
        <v>1</v>
      </c>
      <c r="C32" s="30" t="str">
        <f>IF(ISBLANK(B32),"",VLOOKUP(B32,Entries!$A$4:$C$70,2,FALSE))</f>
        <v>A</v>
      </c>
      <c r="D32" s="31" t="str">
        <f>IF(ISBLANK(B32),"",VLOOKUP(B32,Entries!$A$4:$C$70,3,FALSE))</f>
        <v>Eton Manor AC</v>
      </c>
      <c r="E32" s="30">
        <f t="shared" si="0"/>
        <v>30</v>
      </c>
      <c r="F32" s="30">
        <f>IF(ISBLANK(B32),"",VLOOKUP(B32,Overall!$B$4:$AR$75,29,FALSE))</f>
        <v>223</v>
      </c>
      <c r="G32" s="25">
        <f>IF(ISBLANK($B32),"",IF(OR($B32=$B31,$B32=$B30,$B32=$B29,$B32=$B28,$B32=$B27,$B32=$B26,$B32=$B25,$B32=$B24,$B32=$B23,$B32=$B22,$B32=$B21,$B32=$B20,$B32=$B19,$B32=$B18,$B32=$B17,$B32=$B16,$B32=$B15,$B32=$B14,$B32=$B13,$B32=$B12,$B32=$B11,$B32=$B10,$B32=$B9,$B32=$B8,$B32=$B7,$B32=$B6,$B32=$B5,$B32=$B4,$B32=$B3),"*",""))</f>
      </c>
      <c r="H32" s="30">
        <v>30</v>
      </c>
      <c r="I32" s="30">
        <v>30</v>
      </c>
      <c r="J32" s="31" t="s">
        <v>100</v>
      </c>
      <c r="K32" s="30">
        <v>287</v>
      </c>
      <c r="AA32" s="25">
        <v>26</v>
      </c>
      <c r="AB32" s="25">
        <v>30</v>
      </c>
      <c r="AC32" s="25" t="s">
        <v>3</v>
      </c>
      <c r="AD32" s="24" t="s">
        <v>100</v>
      </c>
      <c r="AE32" s="25">
        <v>26</v>
      </c>
      <c r="AF32" s="25">
        <v>287</v>
      </c>
    </row>
    <row r="33" spans="1:32" ht="15">
      <c r="A33" s="30">
        <v>31</v>
      </c>
      <c r="B33" s="30">
        <v>15</v>
      </c>
      <c r="C33" s="30" t="str">
        <f>IF(ISBLANK(B33),"",VLOOKUP(B33,Entries!$A$4:$C$70,2,FALSE))</f>
        <v>A</v>
      </c>
      <c r="D33" s="31" t="str">
        <f>IF(ISBLANK(B33),"",VLOOKUP(B33,Entries!$A$4:$C$70,3,FALSE))</f>
        <v>Havering 90 A</v>
      </c>
      <c r="E33" s="30">
        <f aca="true" t="shared" si="1" ref="E33:E55">IF(ISBLANK(B33),"",A33)</f>
        <v>31</v>
      </c>
      <c r="F33" s="30">
        <f>IF(ISBLANK(B33),"",VLOOKUP(B33,Overall!$B$4:$AR$75,29,FALSE))</f>
        <v>366</v>
      </c>
      <c r="G33" s="25">
        <f>IF(ISBLANK($B33),"",IF(OR($B33=$B32,$B33=$B31,$B33=$B30,$B33=$B29,$B33=$B28,$B33=$B27,$B33=$B26,$B33=$B25,$B33=$B24,$B33=$B23,$B33=$B22,$B33=$B21,$B33=$B20,$B33=$B19,$B33=$B18,$B33=$B17,$B33=$B16,$B33=$B15,$B33=$B14,$B33=$B13,$B33=$B12,$B33=$B11,$B33=$B10,$B33=$B9,$B33=$B8,$B33=$B7,$B33=$B6,$B33=$B5,$B33=$B4,$B33=$B3),"*",""))</f>
      </c>
      <c r="H33" s="30">
        <v>31</v>
      </c>
      <c r="I33" s="30">
        <v>3</v>
      </c>
      <c r="J33" s="31" t="s">
        <v>120</v>
      </c>
      <c r="K33" s="30">
        <v>292</v>
      </c>
      <c r="AA33" s="25">
        <v>22</v>
      </c>
      <c r="AB33" s="25">
        <v>3</v>
      </c>
      <c r="AC33" s="25" t="s">
        <v>3</v>
      </c>
      <c r="AD33" s="24" t="s">
        <v>120</v>
      </c>
      <c r="AE33" s="25">
        <v>22</v>
      </c>
      <c r="AF33" s="25">
        <v>292</v>
      </c>
    </row>
    <row r="34" spans="1:32" ht="15">
      <c r="A34" s="30">
        <v>32</v>
      </c>
      <c r="B34" s="30">
        <v>62</v>
      </c>
      <c r="C34" s="30" t="str">
        <f>IF(ISBLANK(B34),"",VLOOKUP(B34,Entries!$A$4:$C$70,2,FALSE))</f>
        <v>L</v>
      </c>
      <c r="D34" s="31" t="str">
        <f>IF(ISBLANK(B34),"",VLOOKUP(B34,Entries!$A$4:$C$70,3,FALSE))</f>
        <v>Leigh on Sea - Weekend without Make up</v>
      </c>
      <c r="E34" s="30">
        <f t="shared" si="1"/>
        <v>32</v>
      </c>
      <c r="F34" s="30">
        <f>IF(ISBLANK(B34),"",VLOOKUP(B34,Overall!$B$4:$AR$75,29,FALSE))</f>
        <v>209</v>
      </c>
      <c r="G34" s="25">
        <f>IF(ISBLANK($B34),"",IF(OR(OR($B34=$B33,$B34=$B32,$B34=$B31,$B34=$B30,$B34=$B29,$B34=$B28,$B34=$B27,$B34=$B26,$B34=$B25,$B34=$B24,$B34=$B23,$B34=$B22,$B34=$B21,$B34=$B20,$B34=$B19,$B34=$B18,$B34=$B17,$B34=$B16,$B34=$B15,$B34=$B14,$B34=$B13,$B34=$B12,$B34=$B11,$B34=$B10,$B34=$B9,$B34=$B8,$B34=$B7,$B34=$B6,$B34=$B5,$B34=$B4),OR($B34=$B3)),"*",""))</f>
      </c>
      <c r="H34" s="30">
        <v>32</v>
      </c>
      <c r="I34" s="30">
        <v>20</v>
      </c>
      <c r="J34" s="31" t="s">
        <v>145</v>
      </c>
      <c r="K34" s="30">
        <v>298</v>
      </c>
      <c r="AA34" s="25">
        <v>43</v>
      </c>
      <c r="AB34" s="25">
        <v>20</v>
      </c>
      <c r="AC34" s="25" t="s">
        <v>3</v>
      </c>
      <c r="AD34" s="24" t="s">
        <v>145</v>
      </c>
      <c r="AE34" s="25">
        <v>43</v>
      </c>
      <c r="AF34" s="25">
        <v>298</v>
      </c>
    </row>
    <row r="35" spans="1:32" ht="15">
      <c r="A35" s="30">
        <v>33</v>
      </c>
      <c r="B35" s="30">
        <v>38</v>
      </c>
      <c r="C35" s="30" t="str">
        <f>IF(ISBLANK(B35),"",VLOOKUP(B35,Entries!$A$4:$C$70,2,FALSE))</f>
        <v>A</v>
      </c>
      <c r="D35" s="31" t="str">
        <f>IF(ISBLANK(B35),"",VLOOKUP(B35,Entries!$A$4:$C$70,3,FALSE))</f>
        <v>Springfield Striders Mixed C</v>
      </c>
      <c r="E35" s="30">
        <f t="shared" si="1"/>
        <v>33</v>
      </c>
      <c r="F35" s="30">
        <f>IF(ISBLANK(B35),"",VLOOKUP(B35,Overall!$B$4:$AR$75,29,FALSE))</f>
        <v>277</v>
      </c>
      <c r="G35" s="25">
        <f>IF(ISBLANK($B35),"",IF(OR(OR($B35=$B34,$B35=$B33,$B35=$B32,$B35=$B31,$B35=$B30,$B35=$B29,$B35=$B28,$B35=$B27,$B35=$B26,$B35=$B25,$B35=$B24,$B35=$B23,$B35=$B22,$B35=$B21,$B35=$B20,$B35=$B19,$B35=$B18,$B35=$B17,$B35=$B16,$B35=$B15,$B35=$B14,$B35=$B13,$B35=$B12,$B35=$B11,$B35=$B10,$B35=$B9,$B35=$B8,$B35=$B7,$B35=$B6,$B35=$B5),OR($B35=$B4,$B35=$B3)),"*",""))</f>
      </c>
      <c r="H35" s="30">
        <v>33</v>
      </c>
      <c r="I35" s="30">
        <v>16</v>
      </c>
      <c r="J35" s="31" t="s">
        <v>143</v>
      </c>
      <c r="K35" s="30">
        <v>321</v>
      </c>
      <c r="AA35" s="25">
        <v>27</v>
      </c>
      <c r="AB35" s="25">
        <v>16</v>
      </c>
      <c r="AC35" s="25" t="s">
        <v>3</v>
      </c>
      <c r="AD35" s="24" t="s">
        <v>143</v>
      </c>
      <c r="AE35" s="25">
        <v>27</v>
      </c>
      <c r="AF35" s="25">
        <v>321</v>
      </c>
    </row>
    <row r="36" spans="1:32" ht="15">
      <c r="A36" s="30">
        <v>34</v>
      </c>
      <c r="B36" s="30">
        <v>39</v>
      </c>
      <c r="C36" s="30" t="str">
        <f>IF(ISBLANK(B36),"",VLOOKUP(B36,Entries!$A$4:$C$70,2,FALSE))</f>
        <v>A</v>
      </c>
      <c r="D36" s="31" t="str">
        <f>IF(ISBLANK(B36),"",VLOOKUP(B36,Entries!$A$4:$C$70,3,FALSE))</f>
        <v>Springfield Striders Mixed D</v>
      </c>
      <c r="E36" s="30">
        <f t="shared" si="1"/>
        <v>34</v>
      </c>
      <c r="F36" s="30">
        <f>IF(ISBLANK(B36),"",VLOOKUP(B36,Overall!$B$4:$AR$75,29,FALSE))</f>
        <v>505</v>
      </c>
      <c r="G36" s="25">
        <f>IF(ISBLANK($B36),"",IF(OR(OR($B36=$B35,$B36=$B34,$B36=$B33,$B36=$B32,$B36=$B31,$B36=$B30,$B36=$B29,$B36=$B28,$B36=$B27,$B36=$B26,$B36=$B25,$B36=$B24,$B36=$B23,$B36=$B22,$B36=$B21,$B36=$B20,$B36=$B19,$B36=$B18,$B36=$B17,$B36=$B16,$B36=$B15,$B36=$B14,$B36=$B13,$B36=$B12,$B36=$B11,$B36=$B10,$B36=$B9,$B36=$B8,$B36=$B7,$B36=$B6),OR($B36=$B5,$B36=$B4,$B36=$B3)),"*",""))</f>
      </c>
      <c r="H36" s="30">
        <v>34</v>
      </c>
      <c r="I36" s="30">
        <v>27</v>
      </c>
      <c r="J36" s="31" t="s">
        <v>97</v>
      </c>
      <c r="K36" s="30">
        <v>326</v>
      </c>
      <c r="AA36" s="25">
        <v>45</v>
      </c>
      <c r="AB36" s="25">
        <v>27</v>
      </c>
      <c r="AC36" s="25" t="s">
        <v>3</v>
      </c>
      <c r="AD36" s="24" t="s">
        <v>97</v>
      </c>
      <c r="AE36" s="25">
        <v>45</v>
      </c>
      <c r="AF36" s="25">
        <v>326</v>
      </c>
    </row>
    <row r="37" spans="1:32" ht="15">
      <c r="A37" s="30">
        <v>35</v>
      </c>
      <c r="B37" s="30">
        <v>59</v>
      </c>
      <c r="C37" s="30" t="str">
        <f>IF(ISBLANK(B37),"",VLOOKUP(B37,Entries!$A$4:$C$70,2,FALSE))</f>
        <v>L</v>
      </c>
      <c r="D37" s="31" t="str">
        <f>IF(ISBLANK(B37),"",VLOOKUP(B37,Entries!$A$4:$C$70,3,FALSE))</f>
        <v>Grange Farm Ladies</v>
      </c>
      <c r="E37" s="30">
        <f t="shared" si="1"/>
        <v>35</v>
      </c>
      <c r="F37" s="30">
        <f>IF(ISBLANK(B37),"",VLOOKUP(B37,Overall!$B$4:$AR$75,29,FALSE))</f>
        <v>213</v>
      </c>
      <c r="G37" s="25">
        <f>IF(ISBLANK($B37),"",IF(OR(OR($B37=$B36,$B37=$B35,$B37=$B34,$B37=$B33,$B37=$B32,$B37=$B31,$B37=$B30,$B37=$B29,$B37=$B28,$B37=$B27,$B37=$B26,$B37=$B25,$B37=$B24,$B37=$B23,$B37=$B22,$B37=$B21,$B37=$B20,$B37=$B19,$B37=$B18,$B37=$B17,$B37=$B16,$B37=$B15,$B37=$B14,$B37=$B13,$B37=$B12,$B37=$B11,$B37=$B10,$B37=$B9,$B37=$B8,$B37=$B7),OR($B37=$B6,$B37=$B5,$B37=$B4,$B37=$B3)),"*",""))</f>
      </c>
      <c r="H37" s="30">
        <v>35</v>
      </c>
      <c r="I37" s="30">
        <v>35</v>
      </c>
      <c r="J37" s="31" t="s">
        <v>168</v>
      </c>
      <c r="K37" s="30">
        <v>327</v>
      </c>
      <c r="AA37" s="25">
        <v>18</v>
      </c>
      <c r="AB37" s="25">
        <v>35</v>
      </c>
      <c r="AC37" s="25" t="s">
        <v>3</v>
      </c>
      <c r="AD37" s="24" t="s">
        <v>168</v>
      </c>
      <c r="AE37" s="25">
        <v>18</v>
      </c>
      <c r="AF37" s="25">
        <v>327</v>
      </c>
    </row>
    <row r="38" spans="1:32" ht="15">
      <c r="A38" s="30">
        <v>36</v>
      </c>
      <c r="B38" s="30">
        <v>25</v>
      </c>
      <c r="C38" s="30" t="str">
        <f>IF(ISBLANK(B38),"",VLOOKUP(B38,Entries!$A$4:$C$70,2,FALSE))</f>
        <v>A</v>
      </c>
      <c r="D38" s="31" t="str">
        <f>IF(ISBLANK(B38),"",VLOOKUP(B38,Entries!$A$4:$C$70,3,FALSE))</f>
        <v>Southend Men B</v>
      </c>
      <c r="E38" s="30">
        <f t="shared" si="1"/>
        <v>36</v>
      </c>
      <c r="F38" s="30">
        <f>IF(ISBLANK(B38),"",VLOOKUP(B38,Overall!$B$4:$AR$75,29,FALSE))</f>
        <v>159</v>
      </c>
      <c r="G38" s="25">
        <f>IF(ISBLANK($B38),"",IF(OR(OR($B38=$B37,$B38=$B36,$B38=$B35,$B38=$B34,$B38=$B33,$B38=$B32,$B38=$B31,$B38=$B30,$B38=$B29,$B38=$B28,$B38=$B27,$B38=$B26,$B38=$B25,$B38=$B24,$B38=$B23,$B38=$B22,$B38=$B21,$B38=$B20,$B38=$B19,$B38=$B18,$B38=$B17,$B38=$B16,$B38=$B15,$B38=$B14,$B38=$B13,$B38=$B12,$B38=$B11,$B38=$B10,$B38=$B9,$B38=$B8),OR($B38=$B7,$B38=$B6,$B38=$B5,$B38=$B4,$B38=$B3)),"*",""))</f>
      </c>
      <c r="H38" s="30">
        <v>36</v>
      </c>
      <c r="I38" s="30">
        <v>15</v>
      </c>
      <c r="J38" s="31" t="s">
        <v>142</v>
      </c>
      <c r="K38" s="30">
        <v>366</v>
      </c>
      <c r="AA38" s="25">
        <v>31</v>
      </c>
      <c r="AB38" s="25">
        <v>15</v>
      </c>
      <c r="AC38" s="25" t="s">
        <v>3</v>
      </c>
      <c r="AD38" s="24" t="s">
        <v>142</v>
      </c>
      <c r="AE38" s="25">
        <v>31</v>
      </c>
      <c r="AF38" s="25">
        <v>366</v>
      </c>
    </row>
    <row r="39" spans="1:32" ht="15">
      <c r="A39" s="30">
        <v>37</v>
      </c>
      <c r="B39" s="30">
        <v>57</v>
      </c>
      <c r="C39" s="30" t="str">
        <f>IF(ISBLANK(B39),"",VLOOKUP(B39,Entries!$A$4:$C$70,2,FALSE))</f>
        <v>L</v>
      </c>
      <c r="D39" s="31" t="str">
        <f>IF(ISBLANK(B39),"",VLOOKUP(B39,Entries!$A$4:$C$70,3,FALSE))</f>
        <v>Springfield Striders Ladies A</v>
      </c>
      <c r="E39" s="30">
        <f t="shared" si="1"/>
        <v>37</v>
      </c>
      <c r="F39" s="30">
        <f>IF(ISBLANK(B39),"",VLOOKUP(B39,Overall!$B$4:$AR$75,29,FALSE))</f>
        <v>224</v>
      </c>
      <c r="G39" s="25">
        <f>IF(ISBLANK($B39),"",IF(OR(OR($B39=$B38,$B39=$B37,$B39=$B36,$B39=$B35,$B39=$B34,$B39=$B33,$B39=$B32,$B39=$B31,$B39=$B30,$B39=$B29,$B39=$B28,$B39=$B27,$B39=$B26,$B39=$B25,$B39=$B24,$B39=$B23,$B39=$B22,$B39=$B21,$B39=$B20,$B39=$B19,$B39=$B18,$B39=$B17,$B39=$B16,$B39=$B15,$B39=$B14,$B39=$B13,$B39=$B12,$B39=$B11,$B39=$B10,$B39=$B9),OR($B39=$B8,$B39=$B7,$B39=$B6,$B39=$B5,$B39=$B4,$B39=$B3)),"*",""))</f>
      </c>
      <c r="H39" s="30">
        <v>37</v>
      </c>
      <c r="I39" s="30">
        <v>41</v>
      </c>
      <c r="J39" s="31" t="s">
        <v>176</v>
      </c>
      <c r="K39" s="30">
        <v>396</v>
      </c>
      <c r="AA39" s="25">
        <v>52</v>
      </c>
      <c r="AB39" s="25">
        <v>41</v>
      </c>
      <c r="AC39" s="25" t="s">
        <v>3</v>
      </c>
      <c r="AD39" s="24" t="s">
        <v>176</v>
      </c>
      <c r="AE39" s="25">
        <v>52</v>
      </c>
      <c r="AF39" s="25">
        <v>396</v>
      </c>
    </row>
    <row r="40" spans="1:32" ht="15">
      <c r="A40" s="30">
        <v>38</v>
      </c>
      <c r="B40" s="30">
        <v>22</v>
      </c>
      <c r="C40" s="30" t="str">
        <f>IF(ISBLANK(B40),"",VLOOKUP(B40,Entries!$A$4:$C$70,2,FALSE))</f>
        <v>A</v>
      </c>
      <c r="D40" s="31" t="str">
        <f>IF(ISBLANK(B40),"",VLOOKUP(B40,Entries!$A$4:$C$70,3,FALSE))</f>
        <v>TGT Men B</v>
      </c>
      <c r="E40" s="30">
        <f t="shared" si="1"/>
        <v>38</v>
      </c>
      <c r="F40" s="30">
        <f>IF(ISBLANK(B40),"",VLOOKUP(B40,Overall!$B$4:$AR$75,29,FALSE))</f>
        <v>256</v>
      </c>
      <c r="G40" s="25">
        <f>IF(ISBLANK($B40),"",IF(OR(OR($B40=$B39,$B40=$B38,$B40=$B37,$B40=$B36,$B40=$B35,$B40=$B34,$B40=$B33,$B40=$B32,$B40=$B31,$B40=$B30,$B40=$B29,$B40=$B28,$B40=$B27,$B40=$B26,$B40=$B25,$B40=$B24,$B40=$B23,$B40=$B22,$B40=$B21,$B40=$B20,$B40=$B19,$B40=$B18,$B40=$B17,$B40=$B16,$B40=$B15,$B40=$B14,$B40=$B13,$B40=$B12,$B40=$B11,$B40=$B10),OR($B40=$B9,$B40=$B8,$B40=$B7,$B40=$B6,$B40=$B5,$B40=$B4,$B40=$B3)),"*",""))</f>
      </c>
      <c r="H40" s="30">
        <v>38</v>
      </c>
      <c r="I40" s="30">
        <v>11</v>
      </c>
      <c r="J40" s="31" t="s">
        <v>65</v>
      </c>
      <c r="K40" s="30">
        <v>442</v>
      </c>
      <c r="AA40" s="25">
        <v>100</v>
      </c>
      <c r="AB40" s="25">
        <v>11</v>
      </c>
      <c r="AC40" s="25" t="s">
        <v>3</v>
      </c>
      <c r="AD40" s="24" t="s">
        <v>65</v>
      </c>
      <c r="AE40" s="25">
        <v>100</v>
      </c>
      <c r="AF40" s="25">
        <v>442</v>
      </c>
    </row>
    <row r="41" spans="1:32" ht="15">
      <c r="A41" s="30">
        <v>39</v>
      </c>
      <c r="B41" s="30">
        <v>13</v>
      </c>
      <c r="C41" s="30" t="str">
        <f>IF(ISBLANK(B41),"",VLOOKUP(B41,Entries!$A$4:$C$70,2,FALSE))</f>
        <v>A</v>
      </c>
      <c r="D41" s="31" t="str">
        <f>IF(ISBLANK(B41),"",VLOOKUP(B41,Entries!$A$4:$C$70,3,FALSE))</f>
        <v>Mid Essex Casuals B</v>
      </c>
      <c r="E41" s="30">
        <f t="shared" si="1"/>
        <v>39</v>
      </c>
      <c r="F41" s="30">
        <f>IF(ISBLANK(B41),"",VLOOKUP(B41,Overall!$B$4:$AR$75,29,FALSE))</f>
        <v>182</v>
      </c>
      <c r="G41" s="25">
        <f>IF(ISBLANK($B41),"",IF(OR(OR($B41=$B40,$B41=$B39,$B41=$B38,$B41=$B37,$B41=$B36,$B41=$B35,$B41=$B34,$B41=$B33,$B41=$B32,$B41=$B31,$B41=$B30,$B41=$B29,$B41=$B28,$B41=$B27,$B41=$B26,$B41=$B25,$B41=$B24,$B41=$B23,$B41=$B22,$B41=$B21,$B41=$B20,$B41=$B19,$B41=$B18,$B41=$B17,$B41=$B16,$B41=$B15,$B41=$B14,$B41=$B13,$B41=$B12,$B41=$B11),OR($B41=$B10,$B41=$B9,$B41=$B8,$B41=$B7,$B41=$B6,$B41=$B5,$B41=$B4,$B41=$B3)),"*",""))</f>
      </c>
      <c r="H41" s="30">
        <v>39</v>
      </c>
      <c r="I41" s="30">
        <v>39</v>
      </c>
      <c r="J41" s="31" t="s">
        <v>105</v>
      </c>
      <c r="K41" s="30">
        <v>505</v>
      </c>
      <c r="AA41" s="25">
        <v>34</v>
      </c>
      <c r="AB41" s="25">
        <v>39</v>
      </c>
      <c r="AC41" s="25" t="s">
        <v>3</v>
      </c>
      <c r="AD41" s="24" t="s">
        <v>105</v>
      </c>
      <c r="AE41" s="25">
        <v>34</v>
      </c>
      <c r="AF41" s="25">
        <v>505</v>
      </c>
    </row>
    <row r="42" spans="1:32" ht="15">
      <c r="A42" s="30">
        <v>40</v>
      </c>
      <c r="B42" s="30">
        <v>14</v>
      </c>
      <c r="C42" s="30" t="str">
        <f>IF(ISBLANK(B42),"",VLOOKUP(B42,Entries!$A$4:$C$70,2,FALSE))</f>
        <v>A</v>
      </c>
      <c r="D42" s="31" t="str">
        <f>IF(ISBLANK(B42),"",VLOOKUP(B42,Entries!$A$4:$C$70,3,FALSE))</f>
        <v>Mid Essex Casuals C</v>
      </c>
      <c r="E42" s="30">
        <f t="shared" si="1"/>
        <v>40</v>
      </c>
      <c r="F42" s="30">
        <f>IF(ISBLANK(B42),"",VLOOKUP(B42,Overall!$B$4:$AR$75,29,FALSE))</f>
        <v>261</v>
      </c>
      <c r="G42" s="25">
        <f>IF(ISBLANK($B42),"",IF(OR(OR($B42=$B41,$B42=$B40,$B42=$B39,$B42=$B38,$B42=$B37,$B42=$B36,$B42=$B35,$B42=$B34,$B42=$B33,$B42=$B32,$B42=$B31,$B42=$B30,$B42=$B29,$B42=$B28,$B42=$B27,$B42=$B26,$B42=$B25,$B42=$B24,$B42=$B23,$B42=$B22,$B42=$B21,$B42=$B20,$B42=$B19,$B42=$B18,$B42=$B17,$B42=$B16,$B42=$B15,$B42=$B14,$B42=$B13,$B42=$B12),OR($B42=$B11,$B42=$B10,$B42=$B9,$B42=$B8,$B42=$B7,$B42=$B6,$B42=$B5,$B42=$B4,$B42=$B3)),"*",""))</f>
      </c>
      <c r="H42" s="44">
        <v>40</v>
      </c>
      <c r="I42" s="44">
        <v>4</v>
      </c>
      <c r="J42" s="45" t="s">
        <v>123</v>
      </c>
      <c r="K42" s="44">
        <v>525</v>
      </c>
      <c r="AA42" s="25">
        <v>100</v>
      </c>
      <c r="AB42" s="25">
        <v>4</v>
      </c>
      <c r="AC42" s="25" t="s">
        <v>3</v>
      </c>
      <c r="AD42" s="24" t="s">
        <v>123</v>
      </c>
      <c r="AE42" s="25">
        <v>100</v>
      </c>
      <c r="AF42" s="25">
        <v>525</v>
      </c>
    </row>
    <row r="43" spans="1:32" ht="15">
      <c r="A43" s="30">
        <v>41</v>
      </c>
      <c r="B43" s="30">
        <v>66</v>
      </c>
      <c r="C43" s="30" t="str">
        <f>IF(ISBLANK(B43),"",VLOOKUP(B43,Entries!$A$4:$C$70,2,FALSE))</f>
        <v>L</v>
      </c>
      <c r="D43" s="31" t="str">
        <f>IF(ISBLANK(B43),"",VLOOKUP(B43,Entries!$A$4:$C$70,3,FALSE))</f>
        <v>TGT Ladies A</v>
      </c>
      <c r="E43" s="30">
        <f t="shared" si="1"/>
        <v>41</v>
      </c>
      <c r="F43" s="30">
        <f>IF(ISBLANK(B43),"",VLOOKUP(B43,Overall!$B$4:$AR$75,29,FALSE))</f>
        <v>253</v>
      </c>
      <c r="G43" s="25">
        <f>IF(ISBLANK($B43),"",IF(OR(OR($B43=$B42,$B43=$B41,$B43=$B40,$B43=$B39,$B43=$B38,$B43=$B37,$B43=$B36,$B43=$B35,$B43=$B34,$B43=$B33,$B43=$B32,$B43=$B31,$B43=$B30,$B43=$B29,$B43=$B28,$B43=$B27,$B43=$B26,$B43=$B25,$B43=$B24,$B43=$B23,$B43=$B22,$B43=$B21,$B43=$B20,$B43=$B19,$B43=$B18,$B43=$B17,$B43=$B16,$B43=$B15,$B43=$B14,$B43=$B13),OR($B43=$B12,$B43=$B11,$B43=$B10,$B43=$B9,$B43=$B8,$B43=$B7,$B43=$B6,$B43=$B5,$B43=$B4,$B43=$B3)),"*",""))</f>
      </c>
      <c r="H43" s="59"/>
      <c r="I43" s="78"/>
      <c r="J43" s="79"/>
      <c r="K43" s="80"/>
      <c r="AA43" s="25">
        <v>12</v>
      </c>
      <c r="AB43" s="25">
        <v>64</v>
      </c>
      <c r="AC43" s="25" t="s">
        <v>0</v>
      </c>
      <c r="AD43" s="24" t="s">
        <v>191</v>
      </c>
      <c r="AE43" s="25">
        <v>12</v>
      </c>
      <c r="AF43" s="25">
        <v>114</v>
      </c>
    </row>
    <row r="44" spans="1:32" ht="15">
      <c r="A44" s="30">
        <v>42</v>
      </c>
      <c r="B44" s="30">
        <v>70</v>
      </c>
      <c r="C44" s="30" t="str">
        <f>IF(ISBLANK(B44),"",VLOOKUP(B44,Entries!$A$4:$C$70,2,FALSE))</f>
        <v>L</v>
      </c>
      <c r="D44" s="31" t="str">
        <f>IF(ISBLANK(B44),"",VLOOKUP(B44,Entries!$A$4:$C$70,3,FALSE))</f>
        <v>Harwich Runners Ladies</v>
      </c>
      <c r="E44" s="30">
        <f t="shared" si="1"/>
        <v>42</v>
      </c>
      <c r="F44" s="30">
        <f>IF(ISBLANK(B44),"",VLOOKUP(B44,Overall!$B$4:$AR$75,29,FALSE))</f>
        <v>273</v>
      </c>
      <c r="G44" s="25">
        <f>IF(ISBLANK($B44),"",IF(OR(OR($B44=$B43,$B44=$B42,$B44=$B41,$B44=$B40,$B44=$B39,$B44=$B38,$B44=$B37,$B44=$B36,$B44=$B35,$B44=$B34,$B44=$B33,$B44=$B32,$B44=$B31,$B44=$B30,$B44=$B29,$B44=$B28,$B44=$B27,$B44=$B26,$B44=$B25,$B44=$B24,$B44=$B23,$B44=$B22,$B44=$B21,$B44=$B20,$B44=$B19,$B44=$B18,$B44=$B17,$B44=$B16,$B44=$B15,$B44=$B14),OR($B44=$B13,$B44=$B12,$B44=$B11,$B44=$B10,$B44=$B9,$B44=$B8,$B44=$B7,$B44=$B6,$B44=$B5,$B44=$B4,$B44=$B3)),"*",""))</f>
      </c>
      <c r="H44" s="46" t="s">
        <v>206</v>
      </c>
      <c r="I44" s="48"/>
      <c r="J44" s="47"/>
      <c r="K44" s="48" t="s">
        <v>73</v>
      </c>
      <c r="AA44" s="25">
        <v>19</v>
      </c>
      <c r="AB44" s="25">
        <v>69</v>
      </c>
      <c r="AC44" s="25" t="s">
        <v>0</v>
      </c>
      <c r="AD44" s="24" t="s">
        <v>198</v>
      </c>
      <c r="AE44" s="25">
        <v>19</v>
      </c>
      <c r="AF44" s="25">
        <v>198</v>
      </c>
    </row>
    <row r="45" spans="1:32" ht="15">
      <c r="A45" s="30">
        <v>43</v>
      </c>
      <c r="B45" s="30">
        <v>20</v>
      </c>
      <c r="C45" s="30" t="str">
        <f>IF(ISBLANK(B45),"",VLOOKUP(B45,Entries!$A$4:$C$70,2,FALSE))</f>
        <v>A</v>
      </c>
      <c r="D45" s="31" t="str">
        <f>IF(ISBLANK(B45),"",VLOOKUP(B45,Entries!$A$4:$C$70,3,FALSE))</f>
        <v>BSRC</v>
      </c>
      <c r="E45" s="30">
        <f t="shared" si="1"/>
        <v>43</v>
      </c>
      <c r="F45" s="30">
        <f>IF(ISBLANK(B45),"",VLOOKUP(B45,Overall!$B$4:$AR$75,29,FALSE))</f>
        <v>298</v>
      </c>
      <c r="G45" s="25">
        <f>IF(ISBLANK($B45),"",IF(OR(OR($B45=$B44,$B45=$B43,$B45=$B42,$B45=$B41,$B45=$B40,$B45=$B39,$B45=$B38,$B45=$B37,$B45=$B36,$B45=$B35,$B45=$B34,$B45=$B33,$B45=$B32,$B45=$B31,$B45=$B30,$B45=$B29,$B45=$B28,$B45=$B27,$B45=$B26,$B45=$B25,$B45=$B24,$B45=$B23,$B45=$B22,$B45=$B21,$B45=$B20,$B45=$B19,$B45=$B18,$B45=$B17,$B45=$B16,$B45=$B15),OR($B45=$B14,$B45=$B13,$B45=$B12,$B45=$B11,$B45=$B10,$B45=$B9,$B45=$B8,$B45=$B7,$B45=$B6,$B45=$B5,$B45=$B4,$B45=$B3)),"*",""))</f>
      </c>
      <c r="H45" s="30">
        <v>1</v>
      </c>
      <c r="I45" s="30">
        <v>64</v>
      </c>
      <c r="J45" s="31" t="s">
        <v>191</v>
      </c>
      <c r="K45" s="30">
        <v>114</v>
      </c>
      <c r="AA45" s="25">
        <v>32</v>
      </c>
      <c r="AB45" s="25">
        <v>62</v>
      </c>
      <c r="AC45" s="25" t="s">
        <v>0</v>
      </c>
      <c r="AD45" s="24" t="s">
        <v>188</v>
      </c>
      <c r="AE45" s="25">
        <v>32</v>
      </c>
      <c r="AF45" s="25">
        <v>209</v>
      </c>
    </row>
    <row r="46" spans="1:32" ht="15">
      <c r="A46" s="30">
        <v>44</v>
      </c>
      <c r="B46" s="30">
        <v>12</v>
      </c>
      <c r="C46" s="30" t="str">
        <f>IF(ISBLANK(B46),"",VLOOKUP(B46,Entries!$A$4:$C$70,2,FALSE))</f>
        <v>V</v>
      </c>
      <c r="D46" s="31" t="str">
        <f>IF(ISBLANK(B46),"",VLOOKUP(B46,Entries!$A$4:$C$70,3,FALSE))</f>
        <v>Mid Essex Casuals A</v>
      </c>
      <c r="E46" s="30">
        <f t="shared" si="1"/>
        <v>44</v>
      </c>
      <c r="F46" s="30">
        <f>IF(ISBLANK(B46),"",VLOOKUP(B46,Overall!$B$4:$AR$75,29,FALSE))</f>
        <v>231</v>
      </c>
      <c r="G46" s="25">
        <f>IF(ISBLANK($B46),"",IF(OR(OR($B46=$B45,$B46=$B44,$B46=$B43,$B46=$B42,$B46=$B41,$B46=$B40,$B46=$B39,$B46=$B38,$B46=$B37,$B46=$B36,$B46=$B35,$B46=$B34,$B46=$B33,$B46=$B32,$B46=$B31,$B46=$B30,$B46=$B29,$B46=$B28,$B46=$B27,$B46=$B26,$B46=$B25,$B46=$B24,$B46=$B23,$B46=$B22,$B46=$B21,$B46=$B20,$B46=$B19,$B46=$B18,$B46=$B17,$B46=$B16),OR($B46=$B15,$B46=$B14,$B46=$B13,$B46=$B12,$B46=$B11,$B46=$B10,$B46=$B9,$B46=$B8,$B46=$B7,$B46=$B6,$B46=$B5,$B46=$B4,$B46=$B3)),"*",""))</f>
      </c>
      <c r="H46" s="30">
        <v>2</v>
      </c>
      <c r="I46" s="30">
        <v>69</v>
      </c>
      <c r="J46" s="31" t="s">
        <v>198</v>
      </c>
      <c r="K46" s="30">
        <v>198</v>
      </c>
      <c r="AA46" s="25">
        <v>35</v>
      </c>
      <c r="AB46" s="25">
        <v>59</v>
      </c>
      <c r="AC46" s="25" t="s">
        <v>0</v>
      </c>
      <c r="AD46" s="24" t="s">
        <v>183</v>
      </c>
      <c r="AE46" s="25">
        <v>35</v>
      </c>
      <c r="AF46" s="25">
        <v>213</v>
      </c>
    </row>
    <row r="47" spans="1:32" ht="15">
      <c r="A47" s="30">
        <v>45</v>
      </c>
      <c r="B47" s="30">
        <v>27</v>
      </c>
      <c r="C47" s="30" t="str">
        <f>IF(ISBLANK(B47),"",VLOOKUP(B47,Entries!$A$4:$C$70,2,FALSE))</f>
        <v>A</v>
      </c>
      <c r="D47" s="31" t="str">
        <f>IF(ISBLANK(B47),"",VLOOKUP(B47,Entries!$A$4:$C$70,3,FALSE))</f>
        <v>Harwich Runners Mixed</v>
      </c>
      <c r="E47" s="30">
        <f t="shared" si="1"/>
        <v>45</v>
      </c>
      <c r="F47" s="30">
        <f>IF(ISBLANK(B47),"",VLOOKUP(B47,Overall!$B$4:$AR$75,29,FALSE))</f>
        <v>326</v>
      </c>
      <c r="G47" s="25">
        <f>IF(ISBLANK($B47),"",IF(OR(OR($B47=$B46,$B47=$B45,$B47=$B44,$B47=$B43,$B47=$B42,$B47=$B41,$B47=$B40,$B47=$B39,$B47=$B38,$B47=$B37,$B47=$B36,$B47=$B35,$B47=$B34,$B47=$B33,$B47=$B32,$B47=$B31,$B47=$B30,$B47=$B29,$B47=$B28,$B47=$B27,$B47=$B26,$B47=$B25,$B47=$B24,$B47=$B23,$B47=$B22,$B47=$B21,$B47=$B20,$B47=$B19,$B47=$B18,$B47=$B17),OR($B47=$B16,$B47=$B15,$B47=$B14,$B47=$B13,$B47=$B12,$B47=$B11,$B47=$B10,$B47=$B9,$B47=$B8,$B47=$B7,$B47=$B6,$B47=$B5,$B47=$B4,$B47=$B3)),"*",""))</f>
      </c>
      <c r="H47" s="30">
        <v>3</v>
      </c>
      <c r="I47" s="30">
        <v>62</v>
      </c>
      <c r="J47" s="31" t="s">
        <v>188</v>
      </c>
      <c r="K47" s="30">
        <v>209</v>
      </c>
      <c r="AA47" s="25">
        <v>37</v>
      </c>
      <c r="AB47" s="25">
        <v>57</v>
      </c>
      <c r="AC47" s="25" t="s">
        <v>0</v>
      </c>
      <c r="AD47" s="24" t="s">
        <v>181</v>
      </c>
      <c r="AE47" s="25">
        <v>37</v>
      </c>
      <c r="AF47" s="25">
        <v>224</v>
      </c>
    </row>
    <row r="48" spans="1:32" ht="15">
      <c r="A48" s="30">
        <v>46</v>
      </c>
      <c r="B48" s="30">
        <v>40</v>
      </c>
      <c r="C48" s="30" t="str">
        <f>IF(ISBLANK(B48),"",VLOOKUP(B48,Entries!$A$4:$C$70,2,FALSE))</f>
        <v>A</v>
      </c>
      <c r="D48" s="31" t="str">
        <f>IF(ISBLANK(B48),"",VLOOKUP(B48,Entries!$A$4:$C$70,3,FALSE))</f>
        <v>Pitsea RC Men </v>
      </c>
      <c r="E48" s="30">
        <f t="shared" si="1"/>
        <v>46</v>
      </c>
      <c r="F48" s="30">
        <f>IF(ISBLANK(B48),"",VLOOKUP(B48,Overall!$B$4:$AR$75,29,FALSE))</f>
        <v>254</v>
      </c>
      <c r="G48" s="25">
        <f>IF(ISBLANK($B48),"",IF(OR(OR($B48=$B47,$B48=$B46,$B48=$B45,$B48=$B44,$B48=$B43,$B48=$B42,$B48=$B41,$B48=$B40,$B48=$B39,$B48=$B38,$B48=$B37,$B48=$B36,$B48=$B35,$B48=$B34,$B48=$B33,$B48=$B32,$B48=$B31,$B48=$B30,$B48=$B29,$B48=$B28,$B48=$B27,$B48=$B26,$B48=$B25,$B48=$B24,$B48=$B23,$B48=$B22,$B48=$B21,$B48=$B20,$B48=$B19,$B48=$B18),OR($B48=$B17,$B48=$B16,$B48=$B15,$B48=$B14,$B48=$B13,$B48=$B12,$B48=$B11,$B48=$B10,$B48=$B9,$B48=$B8,$B48=$B7,$B48=$B6,$B48=$B5,$B48=$B4,$B48=$B3)),"*",""))</f>
      </c>
      <c r="H48" s="30">
        <v>4</v>
      </c>
      <c r="I48" s="30">
        <v>59</v>
      </c>
      <c r="J48" s="31" t="s">
        <v>183</v>
      </c>
      <c r="K48" s="30">
        <v>213</v>
      </c>
      <c r="AA48" s="25">
        <v>13</v>
      </c>
      <c r="AB48" s="25">
        <v>65</v>
      </c>
      <c r="AC48" s="25" t="s">
        <v>0</v>
      </c>
      <c r="AD48" s="24" t="s">
        <v>192</v>
      </c>
      <c r="AE48" s="25">
        <v>13</v>
      </c>
      <c r="AF48" s="25">
        <v>234</v>
      </c>
    </row>
    <row r="49" spans="1:32" ht="15">
      <c r="A49" s="30">
        <v>47</v>
      </c>
      <c r="B49" s="30">
        <v>61</v>
      </c>
      <c r="C49" s="30" t="str">
        <f>IF(ISBLANK(B49),"",VLOOKUP(B49,Entries!$A$4:$C$70,2,FALSE))</f>
        <v>L</v>
      </c>
      <c r="D49" s="31" t="str">
        <f>IF(ISBLANK(B49),"",VLOOKUP(B49,Entries!$A$4:$C$70,3,FALSE))</f>
        <v>East Essex Tri Women</v>
      </c>
      <c r="E49" s="30">
        <f t="shared" si="1"/>
        <v>47</v>
      </c>
      <c r="F49" s="30">
        <f>IF(ISBLANK(B49),"",VLOOKUP(B49,Overall!$B$4:$AR$75,29,FALSE))</f>
        <v>253</v>
      </c>
      <c r="G49" s="25">
        <f>IF(ISBLANK($B49),"",IF(OR(OR($B49=$B48,$B49=$B47,$B49=$B46,$B49=$B45,$B49=$B44,$B49=$B43,$B49=$B42,$B49=$B41,$B49=$B40,$B49=$B39,$B49=$B38,$B49=$B37,$B49=$B36,$B49=$B35,$B49=$B34,$B49=$B33,$B49=$B32,$B49=$B31,$B49=$B30,$B49=$B29,$B49=$B28,$B49=$B27,$B49=$B26,$B49=$B25,$B49=$B24,$B49=$B23,$B49=$B22,$B49=$B21,$B49=$B20,$B49=$B19),OR($B49=$B18,$B49=$B17,$B49=$B16,$B49=$B15,$B49=$B14,$B49=$B13,$B49=$B12,$B49=$B11,$B49=$B10,$B49=$B9,$B49=$B8,$B49=$B7,$B49=$B6,$B49=$B5,$B49=$B4,$B49=$B3)),"*",""))</f>
      </c>
      <c r="H49" s="30">
        <v>5</v>
      </c>
      <c r="I49" s="30">
        <v>57</v>
      </c>
      <c r="J49" s="31" t="s">
        <v>181</v>
      </c>
      <c r="K49" s="30">
        <v>224</v>
      </c>
      <c r="AA49" s="25">
        <v>41</v>
      </c>
      <c r="AB49" s="25">
        <v>66</v>
      </c>
      <c r="AC49" s="25" t="s">
        <v>0</v>
      </c>
      <c r="AD49" s="24" t="s">
        <v>193</v>
      </c>
      <c r="AE49" s="25">
        <v>41</v>
      </c>
      <c r="AF49" s="25">
        <v>253</v>
      </c>
    </row>
    <row r="50" spans="1:32" ht="15">
      <c r="A50" s="30">
        <v>48</v>
      </c>
      <c r="B50" s="30">
        <v>8</v>
      </c>
      <c r="C50" s="30" t="str">
        <f>IF(ISBLANK(B50),"",VLOOKUP(B50,Entries!$A$4:$C$70,2,FALSE))</f>
        <v>A</v>
      </c>
      <c r="D50" s="31" t="str">
        <f>IF(ISBLANK(B50),"",VLOOKUP(B50,Entries!$A$4:$C$70,3,FALSE))</f>
        <v>East Essex Tri Men</v>
      </c>
      <c r="E50" s="30">
        <f t="shared" si="1"/>
        <v>48</v>
      </c>
      <c r="F50" s="30">
        <f>IF(ISBLANK(B50),"",VLOOKUP(B50,Overall!$B$4:$AR$75,29,FALSE))</f>
        <v>279</v>
      </c>
      <c r="G50" s="25">
        <f>IF(ISBLANK($B50),"",IF(OR(OR($B50=$B49,$B50=$B48,$B50=$B47,$B50=$B46,$B50=$B45,$B50=$B44,$B50=$B43,$B50=$B42,$B50=$B41,$B50=$B40,$B50=$B39,$B50=$B38,$B50=$B37,$B50=$B36,$B50=$B35,$B50=$B34,$B50=$B33,$B50=$B32,$B50=$B31,$B50=$B30,$B50=$B29,$B50=$B28,$B50=$B27,$B50=$B26,$B50=$B25,$B50=$B24,$B50=$B23,$B50=$B22,$B50=$B21,$B50=$B20),OR($B50=$B19,$B50=$B18,$B50=$B17,$B50=$B16,$B50=$B15,$B50=$B14,$B50=$B13,$B50=$B12,$B50=$B11,$B50=$B10,$B50=$B9,$B50=$B8,$B50=$B7,$B50=$B6,$B50=$B5,$B50=$B4,$B50=$B3)),"*",""))</f>
      </c>
      <c r="H50" s="30">
        <v>6</v>
      </c>
      <c r="I50" s="30">
        <v>65</v>
      </c>
      <c r="J50" s="31" t="s">
        <v>192</v>
      </c>
      <c r="K50" s="30">
        <v>234</v>
      </c>
      <c r="AA50" s="25">
        <v>47</v>
      </c>
      <c r="AB50" s="25">
        <v>61</v>
      </c>
      <c r="AC50" s="25" t="s">
        <v>0</v>
      </c>
      <c r="AD50" s="24" t="s">
        <v>187</v>
      </c>
      <c r="AE50" s="25">
        <v>47</v>
      </c>
      <c r="AF50" s="25">
        <v>253</v>
      </c>
    </row>
    <row r="51" spans="1:32" ht="15">
      <c r="A51" s="30">
        <v>49</v>
      </c>
      <c r="B51" s="30">
        <v>58</v>
      </c>
      <c r="C51" s="30" t="str">
        <f>IF(ISBLANK(B51),"",VLOOKUP(B51,Entries!$A$4:$C$70,2,FALSE))</f>
        <v>L</v>
      </c>
      <c r="D51" s="31" t="str">
        <f>IF(ISBLANK(B51),"",VLOOKUP(B51,Entries!$A$4:$C$70,3,FALSE))</f>
        <v>Springfield Striders Ladies B</v>
      </c>
      <c r="E51" s="30">
        <f t="shared" si="1"/>
        <v>49</v>
      </c>
      <c r="F51" s="30">
        <f>IF(ISBLANK(B51),"",VLOOKUP(B51,Overall!$B$4:$AR$75,29,FALSE))</f>
        <v>277</v>
      </c>
      <c r="G51" s="25">
        <f>IF(ISBLANK($B51),"",IF(OR(OR($B51=$B50,$B51=$B49,$B51=$B48,$B51=$B47,$B51=$B46,$B51=$B45,$B51=$B44,$B51=$B43,$B51=$B42,$B51=$B41,$B51=$B40,$B51=$B39,$B51=$B38,$B51=$B37,$B51=$B36,$B51=$B35,$B51=$B34,$B51=$B33,$B51=$B32,$B51=$B31,$B51=$B30,$B51=$B29,$B51=$B28,$B51=$B27,$B51=$B26,$B51=$B25,$B51=$B24,$B51=$B23,$B51=$B22,$B51=$B21),OR($B51=$B20,$B51=$B19,$B51=$B18,$B51=$B17,$B51=$B16,$B51=$B15,$B51=$B14,$B51=$B13,$B51=$B12,$B51=$B11,$B51=$B10,$B51=$B9,$B51=$B8,$B51=$B7,$B51=$B6,$B51=$B5,$B51=$B4,$B51=$B3)),"*",""))</f>
      </c>
      <c r="H51" s="30">
        <v>7</v>
      </c>
      <c r="I51" s="30">
        <v>66</v>
      </c>
      <c r="J51" s="31" t="s">
        <v>193</v>
      </c>
      <c r="K51" s="30">
        <v>253</v>
      </c>
      <c r="AA51" s="25">
        <v>42</v>
      </c>
      <c r="AB51" s="25">
        <v>70</v>
      </c>
      <c r="AC51" s="25" t="s">
        <v>0</v>
      </c>
      <c r="AD51" s="24" t="s">
        <v>199</v>
      </c>
      <c r="AE51" s="25">
        <v>42</v>
      </c>
      <c r="AF51" s="25">
        <v>273</v>
      </c>
    </row>
    <row r="52" spans="1:32" ht="15">
      <c r="A52" s="30">
        <v>50</v>
      </c>
      <c r="B52" s="30">
        <v>60</v>
      </c>
      <c r="C52" s="30" t="str">
        <f>IF(ISBLANK(B52),"",VLOOKUP(B52,Entries!$A$4:$C$70,2,FALSE))</f>
        <v>L</v>
      </c>
      <c r="D52" s="31" t="str">
        <f>IF(ISBLANK(B52),"",VLOOKUP(B52,Entries!$A$4:$C$70,3,FALSE))</f>
        <v>Tiptree Ladies</v>
      </c>
      <c r="E52" s="30">
        <f t="shared" si="1"/>
        <v>50</v>
      </c>
      <c r="F52" s="30">
        <f>IF(ISBLANK(B52),"",VLOOKUP(B52,Overall!$B$4:$AR$75,29,FALSE))</f>
        <v>299</v>
      </c>
      <c r="G52" s="25">
        <f>IF(ISBLANK($B52),"",IF(OR(OR($B52=$B51,$B52=$B50,$B52=$B49,$B52=$B48,$B52=$B47,$B52=$B46,$B52=$B45,$B52=$B44,$B52=$B43,$B52=$B42,$B52=$B41,$B52=$B40,$B52=$B39,$B52=$B38,$B52=$B37,$B52=$B36,$B52=$B35,$B52=$B34,$B52=$B33,$B52=$B32,$B52=$B31,$B52=$B30,$B52=$B29,$B52=$B28,$B52=$B27,$B52=$B26,$B52=$B25,$B52=$B24,$B52=$B23,$B52=$B22),OR($B52=$B21,$B52=$B20,$B52=$B19,$B52=$B18,$B52=$B17,$B52=$B16,$B52=$B15,$B52=$B14,$B52=$B13,$B52=$B12,$B52=$B11,$B52=$B10,$B52=$B9,$B52=$B8,$B52=$B7,$B52=$B6,$B52=$B5,$B52=$B4,$B52=$B3)),"*",""))</f>
      </c>
      <c r="H52" s="30">
        <v>8</v>
      </c>
      <c r="I52" s="30">
        <v>61</v>
      </c>
      <c r="J52" s="31" t="s">
        <v>187</v>
      </c>
      <c r="K52" s="30">
        <v>253</v>
      </c>
      <c r="AA52" s="25">
        <v>49</v>
      </c>
      <c r="AB52" s="25">
        <v>58</v>
      </c>
      <c r="AC52" s="25" t="s">
        <v>0</v>
      </c>
      <c r="AD52" s="24" t="s">
        <v>182</v>
      </c>
      <c r="AE52" s="25">
        <v>49</v>
      </c>
      <c r="AF52" s="25">
        <v>277</v>
      </c>
    </row>
    <row r="53" spans="1:32" ht="15">
      <c r="A53" s="30">
        <v>51</v>
      </c>
      <c r="B53" s="30">
        <v>68</v>
      </c>
      <c r="C53" s="30" t="str">
        <f>IF(ISBLANK(B53),"",VLOOKUP(B53,Entries!$A$4:$C$70,2,FALSE))</f>
        <v>L</v>
      </c>
      <c r="D53" s="31" t="str">
        <f>IF(ISBLANK(B53),"",VLOOKUP(B53,Entries!$A$4:$C$70,3,FALSE))</f>
        <v>Pitsea RC Ladies</v>
      </c>
      <c r="E53" s="30">
        <f t="shared" si="1"/>
        <v>51</v>
      </c>
      <c r="F53" s="30">
        <f>IF(ISBLANK(B53),"",VLOOKUP(B53,Overall!$B$4:$AR$75,29,FALSE))</f>
        <v>328</v>
      </c>
      <c r="G53" s="25">
        <f>IF(ISBLANK($B53),"",IF(OR(OR($B53=$B52,$B53=$B51,$B53=$B50,$B53=$B49,$B53=$B48,$B53=$B47,$B53=$B46,$B53=$B45,$B53=$B44,$B53=$B43,$B53=$B42,$B53=$B41,$B53=$B40,$B53=$B39,$B53=$B38,$B53=$B37,$B53=$B36,$B53=$B35,$B53=$B34,$B53=$B33,$B53=$B32,$B53=$B31,$B53=$B30,$B53=$B29,$B53=$B28,$B53=$B27,$B53=$B26,$B53=$B25,$B53=$B24,$B53=$B23),OR($B53=$B22,$B53=$B21,$B53=$B20,$B53=$B19,$B53=$B18,$B53=$B17,$B53=$B16,$B53=$B15,$B53=$B14,$B53=$B13,$B53=$B12,$B53=$B11,$B53=$B10,$B53=$B9,$B53=$B8,$B53=$B7,$B53=$B6,$B53=$B5,$B53=$B4,$B53=$B3)),"*",""))</f>
      </c>
      <c r="H53" s="30">
        <v>9</v>
      </c>
      <c r="I53" s="30">
        <v>70</v>
      </c>
      <c r="J53" s="31" t="s">
        <v>199</v>
      </c>
      <c r="K53" s="30">
        <v>273</v>
      </c>
      <c r="AA53" s="25">
        <v>50</v>
      </c>
      <c r="AB53" s="25">
        <v>60</v>
      </c>
      <c r="AC53" s="25" t="s">
        <v>0</v>
      </c>
      <c r="AD53" s="24" t="s">
        <v>184</v>
      </c>
      <c r="AE53" s="25">
        <v>50</v>
      </c>
      <c r="AF53" s="25">
        <v>299</v>
      </c>
    </row>
    <row r="54" spans="1:32" ht="15">
      <c r="A54" s="30">
        <v>52</v>
      </c>
      <c r="B54" s="30">
        <v>41</v>
      </c>
      <c r="C54" s="30" t="str">
        <f>IF(ISBLANK(B54),"",VLOOKUP(B54,Entries!$A$4:$C$70,2,FALSE))</f>
        <v>A</v>
      </c>
      <c r="D54" s="31" t="str">
        <f>IF(ISBLANK(B54),"",VLOOKUP(B54,Entries!$A$4:$C$70,3,FALSE))</f>
        <v>Pitsea RC Mixed</v>
      </c>
      <c r="E54" s="30">
        <f t="shared" si="1"/>
        <v>52</v>
      </c>
      <c r="F54" s="30">
        <f>IF(ISBLANK(B54),"",VLOOKUP(B54,Overall!$B$4:$AR$75,29,FALSE))</f>
        <v>396</v>
      </c>
      <c r="G54" s="25">
        <f>IF(ISBLANK($B54),"",IF(OR(OR($B54=$B53,$B54=$B52,$B54=$B51,$B54=$B50,$B54=$B49,$B54=$B48,$B54=$B47,$B54=$B46,$B54=$B45,$B54=$B44,$B54=$B43,$B54=$B42,$B54=$B41,$B54=$B40,$B54=$B39,$B54=$B38,$B54=$B37,$B54=$B36,$B54=$B35,$B54=$B34,$B54=$B33,$B54=$B32,$B54=$B31,$B54=$B30,$B54=$B29,$B54=$B28,$B54=$B27,$B54=$B26,$B54=$B25,$B54=$B24),OR($B54=$B23,$B54=$B22,$B54=$B21,$B54=$B20,$B54=$B19,$B54=$B18,$B54=$B17,$B54=$B16,$B54=$B15,$B54=$B14,$B54=$B13,$B54=$B12,$B54=$B11,$B54=$B10,$B54=$B9,$B54=$B8,$B54=$B7,$B54=$B6,$B54=$B5,$B54=$B4,$B54=$B3)),"*",""))</f>
      </c>
      <c r="H54" s="30">
        <v>10</v>
      </c>
      <c r="I54" s="30">
        <v>58</v>
      </c>
      <c r="J54" s="31" t="s">
        <v>182</v>
      </c>
      <c r="K54" s="30">
        <v>277</v>
      </c>
      <c r="AA54" s="25">
        <v>51</v>
      </c>
      <c r="AB54" s="25">
        <v>68</v>
      </c>
      <c r="AC54" s="25" t="s">
        <v>0</v>
      </c>
      <c r="AD54" s="24" t="s">
        <v>197</v>
      </c>
      <c r="AE54" s="25">
        <v>51</v>
      </c>
      <c r="AF54" s="25">
        <v>328</v>
      </c>
    </row>
    <row r="55" spans="1:32" ht="15">
      <c r="A55" s="30">
        <v>53</v>
      </c>
      <c r="B55" s="30">
        <v>52</v>
      </c>
      <c r="C55" s="30" t="str">
        <f>IF(ISBLANK(B55),"",VLOOKUP(B55,Entries!$A$4:$C$70,2,FALSE))</f>
        <v>V</v>
      </c>
      <c r="D55" s="31" t="str">
        <f>IF(ISBLANK(B55),"",VLOOKUP(B55,Entries!$A$4:$C$70,3,FALSE))</f>
        <v>TGT Vets</v>
      </c>
      <c r="E55" s="30">
        <f t="shared" si="1"/>
        <v>53</v>
      </c>
      <c r="F55" s="30">
        <f>IF(ISBLANK(B55),"",VLOOKUP(B55,Overall!$B$4:$AR$75,29,FALSE))</f>
        <v>282</v>
      </c>
      <c r="G55" s="25">
        <f>IF(ISBLANK($B55),"",IF(OR(OR($B55=$B54,$B55=$B53,$B55=$B52,$B55=$B51,$B55=$B50,$B55=$B49,$B55=$B48,$B55=$B47,$B55=$B46,$B55=$B45,$B55=$B44,$B55=$B43,$B55=$B42,$B55=$B41,$B55=$B40,$B55=$B39,$B55=$B38,$B55=$B37,$B55=$B36,$B55=$B35,$B55=$B34,$B55=$B33,$B55=$B32,$B55=$B31,$B55=$B30,$B55=$B29,$B55=$B28,$B55=$B27,$B55=$B26,$B55=$B25),OR($B55=$B24,$B55=$B23,$B55=$B22,$B55=$B21,$B55=$B20,$B55=$B19,$B55=$B18,$B55=$B17,$B55=$B16,$B55=$B15,$B55=$B14,$B55=$B13,$B55=$B12,$B55=$B11,$B55=$B10,$B55=$B9,$B55=$B8,$B55=$B7,$B55=$B6,$B55=$B5,$B55=$B4,$B55=$B3)),"*",""))</f>
      </c>
      <c r="H55" s="30">
        <v>11</v>
      </c>
      <c r="I55" s="30">
        <v>60</v>
      </c>
      <c r="J55" s="31" t="s">
        <v>184</v>
      </c>
      <c r="K55" s="30">
        <v>299</v>
      </c>
      <c r="AA55" s="25">
        <v>100</v>
      </c>
      <c r="AB55" s="25">
        <v>67</v>
      </c>
      <c r="AC55" s="25" t="s">
        <v>0</v>
      </c>
      <c r="AD55" s="24" t="s">
        <v>196</v>
      </c>
      <c r="AE55" s="25">
        <v>100</v>
      </c>
      <c r="AF55" s="25">
        <v>439</v>
      </c>
    </row>
    <row r="56" spans="1:32" ht="15">
      <c r="A56" s="30">
        <v>54</v>
      </c>
      <c r="B56" s="30">
        <v>33</v>
      </c>
      <c r="C56" s="30" t="str">
        <f>IF(ISBLANK(B56),"",VLOOKUP(B56,Entries!$A$4:$C$70,2,FALSE))</f>
        <v>A</v>
      </c>
      <c r="D56" s="31" t="str">
        <f>IF(ISBLANK(B56),"",VLOOKUP(B56,Entries!$A$4:$C$70,3,FALSE))</f>
        <v>Grange Farm B</v>
      </c>
      <c r="E56" s="30">
        <f aca="true" t="shared" si="2" ref="E56:E61">IF(ISBLANK(B56),"",A56)</f>
        <v>54</v>
      </c>
      <c r="F56" s="30">
        <f>IF(ISBLANK(B56),"",VLOOKUP(B56,Overall!$B$4:$AR$75,29,FALSE))</f>
        <v>184</v>
      </c>
      <c r="G56" s="25">
        <f>IF(ISBLANK($B56),"",IF(OR(OR($B56=$B55,$B56=$B54,$B56=$B53,$B56=$B52,$B56=$B51,$B56=$B50,$B56=$B49,$B56=$B48,$B56=$B47,$B56=$B46,$B56=$B45,$B56=$B44,$B56=$B43,$B56=$B42,$B56=$B41,$B56=$B40,$B56=$B39,$B56=$B38,$B56=$B37,$B56=$B36,$B56=$B35,$B56=$B34,$B56=$B33,$B56=$B32,$B56=$B31,$B56=$B30,$B56=$B29,$B56=$B28,$B56=$B27,$B56=$B26),OR($B56=$B25,$B56=$B24,$B56=$B23,$B56=$B22,$B56=$B21,$B56=$B20,$B56=$B19,$B56=$B18,$B56=$B17,$B56=$B16,$B56=$B15,$B56=$B14,$B56=$B13,$B56=$B12,$B56=$B11,$B56=$B10,$B56=$B9,$B56=$B8,$B56=$B7,$B56=$B6,$B56=$B5,$B56=$B4,$B56=$B3)),"*",""))</f>
      </c>
      <c r="H56" s="30">
        <v>12</v>
      </c>
      <c r="I56" s="30">
        <v>68</v>
      </c>
      <c r="J56" s="31" t="s">
        <v>197</v>
      </c>
      <c r="K56" s="30">
        <v>328</v>
      </c>
      <c r="AA56" s="25">
        <v>100</v>
      </c>
      <c r="AB56" s="25">
        <v>63</v>
      </c>
      <c r="AC56" s="25" t="s">
        <v>0</v>
      </c>
      <c r="AD56" s="24" t="s">
        <v>65</v>
      </c>
      <c r="AE56" s="25">
        <v>100</v>
      </c>
      <c r="AF56" s="25">
        <v>446</v>
      </c>
    </row>
    <row r="57" spans="1:32" ht="15">
      <c r="A57" s="30">
        <v>55</v>
      </c>
      <c r="B57" s="30">
        <v>34</v>
      </c>
      <c r="C57" s="30" t="str">
        <f>IF(ISBLANK(B57),"",VLOOKUP(B57,Entries!$A$4:$C$70,2,FALSE))</f>
        <v>A</v>
      </c>
      <c r="D57" s="31" t="str">
        <f>IF(ISBLANK(B57),"",VLOOKUP(B57,Entries!$A$4:$C$70,3,FALSE))</f>
        <v>Grange Farm C</v>
      </c>
      <c r="E57" s="30">
        <f t="shared" si="2"/>
        <v>55</v>
      </c>
      <c r="F57" s="30">
        <f>IF(ISBLANK(B57),"",VLOOKUP(B57,Overall!$B$4:$AR$75,29,FALSE))</f>
        <v>262</v>
      </c>
      <c r="G57" s="25">
        <f>IF(ISBLANK($B57),"",IF(OR(OR($B57=$B56,$B57=$B55,$B57=$B54,$B57=$B53,$B57=$B52,$B57=$B51,$B57=$B50,$B57=$B49,$B57=$B48,$B57=$B47,$B57=$B46,$B57=$B45,$B57=$B44,$B57=$B43,$B57=$B42,$B57=$B41,$B57=$B40,$B57=$B39,$B57=$B38,$B57=$B37,$B57=$B36,$B57=$B35,$B57=$B34,$B57=$B33,$B57=$B32,$B57=$B31,$B57=$B30,$B57=$B29,$B57=$B28,$B57=$B27),OR($B57=$B26,$B57=$B25,$B57=$B24,$B57=$B23,$B57=$B22,$B57=$B21,$B57=$B20,$B57=$B19,$B57=$B18,$B57=$B17,$B57=$B16,$B57=$B15,$B57=$B14,$B57=$B13,$B57=$B12,$B57=$B11,$B57=$B10,$B57=$B9,$B57=$B8,$B57=$B7,$B57=$B6,$B57=$B5,$B57=$B4,$B57=$B3)),"*",""))</f>
      </c>
      <c r="H57" s="30">
        <v>13</v>
      </c>
      <c r="I57" s="30">
        <v>67</v>
      </c>
      <c r="J57" s="31" t="s">
        <v>196</v>
      </c>
      <c r="K57" s="30">
        <v>439</v>
      </c>
      <c r="AA57" s="25">
        <v>21</v>
      </c>
      <c r="AB57" s="25">
        <v>50</v>
      </c>
      <c r="AC57" s="25" t="s">
        <v>2</v>
      </c>
      <c r="AD57" s="24" t="s">
        <v>44</v>
      </c>
      <c r="AE57" s="25">
        <v>21</v>
      </c>
      <c r="AF57" s="25">
        <v>103</v>
      </c>
    </row>
    <row r="58" spans="1:32" ht="15">
      <c r="A58" s="30">
        <v>100</v>
      </c>
      <c r="B58" s="30">
        <v>11</v>
      </c>
      <c r="C58" s="30" t="str">
        <f>IF(ISBLANK(B58),"",VLOOKUP(B58,Entries!$A$4:$C$70,2,FALSE))</f>
        <v>A</v>
      </c>
      <c r="D58" s="31" t="str">
        <f>IF(ISBLANK(B58),"",VLOOKUP(B58,Entries!$A$4:$C$70,3,FALSE))</f>
        <v>Billericay Striders</v>
      </c>
      <c r="E58" s="30">
        <f t="shared" si="2"/>
        <v>100</v>
      </c>
      <c r="F58" s="30">
        <f>IF(ISBLANK(B58),"",VLOOKUP(B58,Overall!$B$4:$AR$75,29,FALSE))</f>
        <v>442</v>
      </c>
      <c r="G58" s="25">
        <f>IF(ISBLANK($B58),"",IF(OR(OR($B58=$B57,$B58=$B56,$B58=$B55,$B58=$B54,$B58=$B53,$B58=$B52,$B58=$B51,$B58=$B50,$B58=$B49,$B58=$B48,$B58=$B47,$B58=$B46,$B58=$B45,$B58=$B44,$B58=$B43,$B58=$B42,$B58=$B41,$B58=$B40,$B58=$B39,$B58=$B38,$B58=$B37,$B58=$B36,$B58=$B35,$B58=$B34,$B58=$B33,$B58=$B32,$B58=$B31,$B58=$B30,$B58=$B29,$B58=$B28),OR($B58=$B27,$B58=$B26,$B58=$B25,$B58=$B24,$B58=$B23,$B58=$B22,$B58=$B21,$B58=$B20,$B58=$B19,$B58=$B18,$B58=$B17,$B58=$B16,$B58=$B15,$B58=$B14,$B58=$B13,$B58=$B12,$B58=$B11,$B58=$B10,$B58=$B9,$B58=$B8,$B58=$B7,$B58=$B6,$B58=$B5,$B58=$B4,$B58=$B3)),"*",""))</f>
      </c>
      <c r="H58" s="44">
        <v>14</v>
      </c>
      <c r="I58" s="44">
        <v>63</v>
      </c>
      <c r="J58" s="45" t="s">
        <v>65</v>
      </c>
      <c r="K58" s="44">
        <v>446</v>
      </c>
      <c r="AA58" s="25">
        <v>8</v>
      </c>
      <c r="AB58" s="25">
        <v>53</v>
      </c>
      <c r="AC58" s="25" t="s">
        <v>2</v>
      </c>
      <c r="AD58" s="24" t="s">
        <v>87</v>
      </c>
      <c r="AE58" s="25">
        <v>8</v>
      </c>
      <c r="AF58" s="25">
        <v>120</v>
      </c>
    </row>
    <row r="59" spans="1:32" ht="15">
      <c r="A59" s="30">
        <v>100</v>
      </c>
      <c r="B59" s="30">
        <v>4</v>
      </c>
      <c r="C59" s="30" t="str">
        <f>IF(ISBLANK(B59),"",VLOOKUP(B59,Entries!$A$4:$C$70,2,FALSE))</f>
        <v>A</v>
      </c>
      <c r="D59" s="31" t="str">
        <f>IF(ISBLANK(B59),"",VLOOKUP(B59,Entries!$A$4:$C$70,3,FALSE))</f>
        <v>Tiptree B</v>
      </c>
      <c r="E59" s="30">
        <f t="shared" si="2"/>
        <v>100</v>
      </c>
      <c r="F59" s="30">
        <f>IF(ISBLANK(B59),"",VLOOKUP(B59,Overall!$B$4:$AR$75,29,FALSE))</f>
        <v>525</v>
      </c>
      <c r="G59" s="25">
        <f>IF(ISBLANK($B59),"",IF(OR(OR($B59=$B58,$B59=$B57,$B59=$B56,$B59=$B55,$B59=$B54,$B59=$B53,$B59=$B52,$B59=$B51,$B59=$B50,$B59=$B49,$B59=$B48,$B59=$B47,$B59=$B46,$B59=$B45,$B59=$B44,$B59=$B43,$B59=$B42,$B59=$B41,$B59=$B40,$B59=$B39,$B59=$B38,$B59=$B37,$B59=$B36,$B59=$B35,$B59=$B34,$B59=$B33,$B59=$B32,$B59=$B31,$B59=$B30,$B59=$B29),OR($B59=$B28,$B59=$B27,$B59=$B26,$B59=$B25,$B59=$B24,$B59=$B23,$B59=$B22,$B59=$B21,$B59=$B20,$B59=$B19,$B59=$B18,$B59=$B17,$B59=$B16,$B59=$B15,$B59=$B14,$B59=$B13,$B59=$B12,$B59=$B11,$B59=$B10,$B59=$B9,$B59=$B8,$B59=$B7,$B59=$B6,$B59=$B5,$B59=$B4,$B59=$B3)),"*",""))</f>
      </c>
      <c r="H59" s="59"/>
      <c r="I59" s="78"/>
      <c r="J59" s="79"/>
      <c r="K59" s="80"/>
      <c r="AA59" s="25">
        <v>14</v>
      </c>
      <c r="AB59" s="25">
        <v>51</v>
      </c>
      <c r="AC59" s="25" t="s">
        <v>2</v>
      </c>
      <c r="AD59" s="24" t="s">
        <v>178</v>
      </c>
      <c r="AE59" s="25">
        <v>14</v>
      </c>
      <c r="AF59" s="25">
        <v>198</v>
      </c>
    </row>
    <row r="60" spans="1:32" ht="15">
      <c r="A60" s="30">
        <v>100</v>
      </c>
      <c r="B60" s="30">
        <v>67</v>
      </c>
      <c r="C60" s="30" t="str">
        <f>IF(ISBLANK(B60),"",VLOOKUP(B60,Entries!$A$4:$C$70,2,FALSE))</f>
        <v>L</v>
      </c>
      <c r="D60" s="31" t="str">
        <f>IF(ISBLANK(B60),"",VLOOKUP(B60,Entries!$A$4:$C$70,3,FALSE))</f>
        <v>TGT Ladies B</v>
      </c>
      <c r="E60" s="30">
        <f t="shared" si="2"/>
        <v>100</v>
      </c>
      <c r="F60" s="30">
        <f>IF(ISBLANK(B60),"",VLOOKUP(B60,Overall!$B$4:$AR$75,29,FALSE))</f>
        <v>439</v>
      </c>
      <c r="G60" s="25">
        <f>IF(ISBLANK($B60),"",IF(OR(OR($B60=$B59,$B60=$B58,$B60=$B57,$B60=$B56,$B60=$B55,$B60=$B54,$B60=$B53,$B60=$B52,$B60=$B51,$B60=$B50,$B60=$B49,$B60=$B48,$B60=$B47,$B60=$B46,$B60=$B45,$B60=$B44,$B60=$B43,$B60=$B42,$B60=$B41,$B60=$B40,$B60=$B39,$B60=$B38,$B60=$B37,$B60=$B36,$B60=$B35,$B60=$B34,$B60=$B33,$B60=$B32,$B60=$B31,$B60=$B30),OR($B60=$B29,$B60=$B28,$B60=$B27,$B60=$B26,$B60=$B25,$B60=$B24,$B60=$B23,$B60=$B22,$B60=$B21,$B60=$B20,$B60=$B19,$B60=$B18,$B60=$B17,$B60=$B16,$B60=$B15,$B60=$B14,$B60=$B13,$B60=$B12,$B60=$B11,$B60=$B10,$B60=$B9,$B60=$B8,$B60=$B7,$B60=$B6,$B60=$B5,$B60=$B4,$B60=$B3)),"*",""))</f>
      </c>
      <c r="H60" s="46" t="s">
        <v>207</v>
      </c>
      <c r="I60" s="47"/>
      <c r="J60" s="47"/>
      <c r="K60" s="48" t="s">
        <v>73</v>
      </c>
      <c r="AA60" s="25">
        <v>44</v>
      </c>
      <c r="AB60" s="25">
        <v>12</v>
      </c>
      <c r="AC60" s="25" t="s">
        <v>2</v>
      </c>
      <c r="AD60" s="24" t="s">
        <v>84</v>
      </c>
      <c r="AE60" s="25">
        <v>44</v>
      </c>
      <c r="AF60" s="25">
        <v>231</v>
      </c>
    </row>
    <row r="61" spans="1:32" ht="15">
      <c r="A61" s="30">
        <v>100</v>
      </c>
      <c r="B61" s="30">
        <v>63</v>
      </c>
      <c r="C61" s="30" t="str">
        <f>IF(ISBLANK(B61),"",VLOOKUP(B61,Entries!$A$4:$C$70,2,FALSE))</f>
        <v>L</v>
      </c>
      <c r="D61" s="31" t="str">
        <f>IF(ISBLANK(B61),"",VLOOKUP(B61,Entries!$A$4:$C$70,3,FALSE))</f>
        <v>Billericay Striders</v>
      </c>
      <c r="E61" s="30">
        <f t="shared" si="2"/>
        <v>100</v>
      </c>
      <c r="F61" s="30">
        <f>IF(ISBLANK(B61),"",VLOOKUP(B61,Overall!$B$4:$AR$75,29,FALSE))</f>
        <v>446</v>
      </c>
      <c r="G61" s="25">
        <f>IF(ISBLANK($B61),"",IF(OR(OR($B61=$B60,$B61=$B59,$B61=$B58,$B61=$B57,$B61=$B56,$B61=$B55,$B61=$B54,$B61=$B53,$B61=$B52,$B61=$B51,$B61=$B50,$B61=$B49,$B61=$B48,$B61=$B47,$B61=$B46,$B61=$B45,$B61=$B44,$B61=$B43,$B61=$B42,$B61=$B41,$B61=$B40,$B61=$B39,$B61=$B38,$B61=$B37,$B61=$B36,$B61=$B35,$B61=$B34,$B61=$B33,$B61=$B32,$B61=$B31),OR($B61=$B30,$B61=$B29,$B61=$B28,$B61=$B27,$B61=$B26,$B61=$B25,$B61=$B24,$B61=$B23,$B61=$B22,$B61=$B21,$B61=$B20,$B61=$B19,$B61=$B18,$B61=$B17,$B61=$B16,$B61=$B15,$B61=$B14,$B61=$B13,$B61=$B12,$B61=$B11,$B61=$B10,$B61=$B9,$B61=$B8,$B61=$B7,$B61=$B6,$B61=$B5,$B61=$B4,$B61=$B3)),"*",""))</f>
      </c>
      <c r="H61" s="30">
        <v>1</v>
      </c>
      <c r="I61" s="30">
        <v>50</v>
      </c>
      <c r="J61" s="31" t="s">
        <v>44</v>
      </c>
      <c r="K61" s="30">
        <v>103</v>
      </c>
      <c r="AA61" s="25">
        <v>53</v>
      </c>
      <c r="AB61" s="25">
        <v>52</v>
      </c>
      <c r="AC61" s="25" t="s">
        <v>2</v>
      </c>
      <c r="AD61" s="24" t="s">
        <v>179</v>
      </c>
      <c r="AE61" s="25">
        <v>53</v>
      </c>
      <c r="AF61" s="25">
        <v>282</v>
      </c>
    </row>
    <row r="62" spans="8:11" ht="15">
      <c r="H62" s="30">
        <v>2</v>
      </c>
      <c r="I62" s="30">
        <v>53</v>
      </c>
      <c r="J62" s="31" t="s">
        <v>87</v>
      </c>
      <c r="K62" s="30">
        <v>120</v>
      </c>
    </row>
    <row r="63" spans="8:11" ht="15">
      <c r="H63" s="30">
        <v>3</v>
      </c>
      <c r="I63" s="30">
        <v>51</v>
      </c>
      <c r="J63" s="31" t="s">
        <v>178</v>
      </c>
      <c r="K63" s="30">
        <v>198</v>
      </c>
    </row>
    <row r="64" spans="8:11" ht="15">
      <c r="H64" s="30">
        <v>4</v>
      </c>
      <c r="I64" s="30">
        <v>12</v>
      </c>
      <c r="J64" s="31" t="s">
        <v>84</v>
      </c>
      <c r="K64" s="30">
        <v>231</v>
      </c>
    </row>
    <row r="65" spans="8:11" ht="15">
      <c r="H65" s="30">
        <v>5</v>
      </c>
      <c r="I65" s="30">
        <v>52</v>
      </c>
      <c r="J65" s="31" t="s">
        <v>179</v>
      </c>
      <c r="K65" s="30">
        <v>282</v>
      </c>
    </row>
    <row r="66" spans="8:11" ht="15">
      <c r="H66" s="36"/>
      <c r="I66" s="35"/>
      <c r="J66" s="35"/>
      <c r="K66" s="36"/>
    </row>
    <row r="67" spans="8:11" ht="15">
      <c r="H67" s="36"/>
      <c r="I67" s="35"/>
      <c r="J67" s="35"/>
      <c r="K67" s="36"/>
    </row>
    <row r="68" spans="8:11" ht="15">
      <c r="H68" s="36"/>
      <c r="I68" s="35"/>
      <c r="J68" s="35"/>
      <c r="K68" s="36"/>
    </row>
    <row r="69" spans="8:11" ht="15">
      <c r="H69" s="36"/>
      <c r="I69" s="35"/>
      <c r="J69" s="35"/>
      <c r="K69" s="36"/>
    </row>
    <row r="70" spans="8:11" ht="15">
      <c r="H70" s="36"/>
      <c r="I70" s="35"/>
      <c r="J70" s="35"/>
      <c r="K70" s="36"/>
    </row>
  </sheetData>
  <sheetProtection/>
  <mergeCells count="2">
    <mergeCell ref="H1:K1"/>
    <mergeCell ref="A1:F1"/>
  </mergeCells>
  <printOptions horizontalCentered="1"/>
  <pageMargins left="0.4330708661417323" right="0.4330708661417323" top="0.7874015748031497" bottom="0.2362204724409449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Andy Clarke</cp:lastModifiedBy>
  <cp:lastPrinted>2013-08-30T11:34:10Z</cp:lastPrinted>
  <dcterms:created xsi:type="dcterms:W3CDTF">2009-09-07T07:41:02Z</dcterms:created>
  <dcterms:modified xsi:type="dcterms:W3CDTF">2013-09-01T18:28:29Z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1026047735</vt:i4>
  </property>
  <property fmtid="{D5CDD505-2E9C-101B-9397-08002B2CF9AE}" pid="3" name="_NewReviewCycle">
    <vt:lpwstr/>
  </property>
  <property fmtid="{D5CDD505-2E9C-101B-9397-08002B2CF9AE}" pid="4" name="_EmailSubject">
    <vt:lpwstr>Essex Way Results</vt:lpwstr>
  </property>
  <property fmtid="{D5CDD505-2E9C-101B-9397-08002B2CF9AE}" pid="5" name="_AuthorEmail">
    <vt:lpwstr>Andy.Clarke@friendslife.co.uk</vt:lpwstr>
  </property>
  <property fmtid="{D5CDD505-2E9C-101B-9397-08002B2CF9AE}" pid="6" name="_AuthorEmailDisplayName">
    <vt:lpwstr>Andy Clarke</vt:lpwstr>
  </property>
  <property fmtid="{D5CDD505-2E9C-101B-9397-08002B2CF9AE}" pid="7" name="_ReviewingToolsShownOnce">
    <vt:lpwstr/>
  </property>
</Properties>
</file>